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5" activeTab="0"/>
  </bookViews>
  <sheets>
    <sheet name="Grunddaten" sheetId="1" r:id="rId1"/>
    <sheet name="Gesundheits- u. Rentenabsicherung" sheetId="2" r:id="rId2"/>
    <sheet name="Ergebnisübersicht" sheetId="3" r:id="rId3"/>
    <sheet name="Vermögenssituation" sheetId="4" r:id="rId4"/>
    <sheet name="Tankstellen" sheetId="5" r:id="rId5"/>
  </sheets>
  <definedNames>
    <definedName name="_xlnm.Print_Area" localSheetId="3">'Vermögenssituation'!$A$3:$E$39</definedName>
    <definedName name="Excel_BuiltIn_Print_Area" localSheetId="1">'Gesundheits- u. Rentenabsicherung'!$A$3:$H$45</definedName>
    <definedName name="Excel_BuiltIn_Print_Area" localSheetId="3">'Vermögenssituation'!$A$5:$E$38</definedName>
    <definedName name="Excel_BuiltIn_Print_Area" localSheetId="0">'Grunddaten'!$A$3:$E$18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5" authorId="0">
      <text>
        <r>
          <rPr>
            <sz val="12"/>
            <color indexed="8"/>
            <rFont val="Segoe UI"/>
            <family val="0"/>
          </rPr>
          <t xml:space="preserve"> Quelle: „Jena Bevölkerungsprognose 2014“, S. 8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6" authorId="0">
      <text>
        <r>
          <rPr>
            <sz val="10"/>
            <rFont val="Arial"/>
            <family val="2"/>
          </rPr>
          <t>2017</t>
        </r>
      </text>
    </comment>
    <comment ref="B7" authorId="0">
      <text>
        <r>
          <rPr>
            <sz val="10"/>
            <rFont val="Arial"/>
            <family val="2"/>
          </rPr>
          <t>KRD</t>
        </r>
      </text>
    </comment>
    <comment ref="B12" authorId="0">
      <text>
        <r>
          <rPr>
            <sz val="10"/>
            <rFont val="Arial"/>
            <family val="2"/>
          </rPr>
          <t>NDGK</t>
        </r>
      </text>
    </comment>
    <comment ref="B25" authorId="0">
      <text>
        <r>
          <rPr>
            <sz val="10"/>
            <rFont val="Arial"/>
            <family val="2"/>
          </rPr>
          <t>KRD</t>
        </r>
      </text>
    </comment>
    <comment ref="F28" authorId="0">
      <text>
        <r>
          <rPr>
            <sz val="10"/>
            <rFont val="Arial"/>
            <family val="2"/>
          </rPr>
          <t>31.12.2016</t>
        </r>
      </text>
    </comment>
    <comment ref="F30" authorId="0">
      <text>
        <r>
          <rPr>
            <sz val="10"/>
            <rFont val="Arial"/>
            <family val="2"/>
          </rPr>
          <t>31.12.2016</t>
        </r>
      </text>
    </comment>
    <comment ref="B36" authorId="0">
      <text>
        <r>
          <rPr>
            <sz val="10"/>
            <rFont val="Arial"/>
            <family val="2"/>
          </rPr>
          <t>lt. Enke: 1100-1200 €/m²</t>
        </r>
      </text>
    </comment>
  </commentList>
</comments>
</file>

<file path=xl/sharedStrings.xml><?xml version="1.0" encoding="utf-8"?>
<sst xmlns="http://schemas.openxmlformats.org/spreadsheetml/2006/main" count="262" uniqueCount="202">
  <si>
    <t>Grunddaten</t>
  </si>
  <si>
    <t>Über 17</t>
  </si>
  <si>
    <t>Einwohner</t>
  </si>
  <si>
    <t>Stand 2013</t>
  </si>
  <si>
    <t>Gesamtausgaben Jenaer Haushalt</t>
  </si>
  <si>
    <t>Mio €</t>
  </si>
  <si>
    <t>s. Übersicht</t>
  </si>
  <si>
    <t>Arbeitnehmer</t>
  </si>
  <si>
    <t>Stand 2017</t>
  </si>
  <si>
    <t>geringfügig Beschäftigte</t>
  </si>
  <si>
    <t>Arbeitslose SGB III (Arbeitslosengeld)</t>
  </si>
  <si>
    <t>Arbeitslose SGB II (Hartz 4)</t>
  </si>
  <si>
    <t>Summe Arbeitslose</t>
  </si>
  <si>
    <t>Rentner (ü 60 jährige)</t>
  </si>
  <si>
    <t>Selbständige</t>
  </si>
  <si>
    <t>Unternehmer</t>
  </si>
  <si>
    <t>Einsatz von Arbeitslosen</t>
  </si>
  <si>
    <t>Ausgewählte Merkmale</t>
  </si>
  <si>
    <t>Stand: -</t>
  </si>
  <si>
    <t>Arbeitnehmer gesamt:</t>
  </si>
  <si>
    <t>Arbeitslose SGB III (ALG I)</t>
  </si>
  <si>
    <t>Arbeitslose SGB II (ALG II)</t>
  </si>
  <si>
    <t>Arbeitslose insgesamt</t>
  </si>
  <si>
    <t>Arbeitslosenquote insgesamt</t>
  </si>
  <si>
    <t>Gemeldete Arbeitsstellen</t>
  </si>
  <si>
    <t>?</t>
  </si>
  <si>
    <t>Unterbeschäftigung (ohne Kurzarbeit)</t>
  </si>
  <si>
    <t>Unterbeschäftigungsquote</t>
  </si>
  <si>
    <t>Arbeitsstunden pro Woche je Person</t>
  </si>
  <si>
    <t>h</t>
  </si>
  <si>
    <t>Arbeitsstunden pro Woche, alle Alo</t>
  </si>
  <si>
    <t>vergleichbar mit Vollzeitkräften (40 h-Woche)</t>
  </si>
  <si>
    <t>Vollzeitkräfte</t>
  </si>
  <si>
    <t>Durch eine kürzere Arbeitszeit würden mehr Leute in Arbeit kommen.</t>
  </si>
  <si>
    <t>Gesundheitsabsicherung (GA)</t>
  </si>
  <si>
    <t>pro Person</t>
  </si>
  <si>
    <t>Bruttogehalt</t>
  </si>
  <si>
    <t>pro Monat =</t>
  </si>
  <si>
    <t>pro Jahr</t>
  </si>
  <si>
    <t>Beitrag GA</t>
  </si>
  <si>
    <t>abzgl. Kosten GA</t>
  </si>
  <si>
    <t>% d. Beitrages=</t>
  </si>
  <si>
    <t>pro Monat</t>
  </si>
  <si>
    <t>Z-Summe Überschuß GA</t>
  </si>
  <si>
    <t>Mio. € / Jahr</t>
  </si>
  <si>
    <t>Summe Überschuß GA</t>
  </si>
  <si>
    <r>
      <t>Weitere Einsparungen</t>
    </r>
    <r>
      <rPr>
        <sz val="12"/>
        <rFont val="Arial"/>
        <family val="2"/>
      </rPr>
      <t>, die noch nicht berücksichtigt sind:</t>
    </r>
  </si>
  <si>
    <t>- kostenfreie Programme zur Förderung der Gesundheit bewirken eine Verbesserung der Volksgesundheit</t>
  </si>
  <si>
    <t>- Führung des städtischen Gesundheitshauses durch besser geschulte Mitarbeiter</t>
  </si>
  <si>
    <t>Rentenabsicherung (RA)</t>
  </si>
  <si>
    <t>Beitrag Rentenabsicherung (RA)</t>
  </si>
  <si>
    <t>pro Person u. Jahr</t>
  </si>
  <si>
    <t>Einnahmen RA</t>
  </si>
  <si>
    <t>angehende Rentner:</t>
  </si>
  <si>
    <t>Rücklage Rentenzahlg. Männer Folgejahr:</t>
  </si>
  <si>
    <t>Mio. €</t>
  </si>
  <si>
    <t>Rente Männer: /J</t>
  </si>
  <si>
    <t>angehende Rentnerinnen:</t>
  </si>
  <si>
    <t>Rücklage Rentenzahlg. Frauen Folgejahr:</t>
  </si>
  <si>
    <t>Rente Frauen: /J</t>
  </si>
  <si>
    <t>Summe Rentner die jährlich in Rente gehen:</t>
  </si>
  <si>
    <t>Berechnung Rücklage Wohnungsbau</t>
  </si>
  <si>
    <t>Bewohner=</t>
  </si>
  <si>
    <t>pro Whg.</t>
  </si>
  <si>
    <t>Whg.-größe:</t>
  </si>
  <si>
    <t>m²</t>
  </si>
  <si>
    <t>Baukosten:</t>
  </si>
  <si>
    <t>pro m²</t>
  </si>
  <si>
    <t>Wohnungsbedarf Rentner:</t>
  </si>
  <si>
    <t>pro Jahr zum preiswerten Wohnen im Alter</t>
  </si>
  <si>
    <t>Rücklage Whgsbau/Sachwertschaffung</t>
  </si>
  <si>
    <t>%</t>
  </si>
  <si>
    <t>Summe Rücklagen RA</t>
  </si>
  <si>
    <t>Summe Überschuß RA</t>
  </si>
  <si>
    <t>Summe Überschüsse aus Sozialkassen</t>
  </si>
  <si>
    <t>Aus der Statistik:</t>
  </si>
  <si>
    <t>60-65 jährige</t>
  </si>
  <si>
    <t>[%]</t>
  </si>
  <si>
    <t>Männer 65-</t>
  </si>
  <si>
    <t>*)</t>
  </si>
  <si>
    <t>durschn Rente Thüringen Männer</t>
  </si>
  <si>
    <t>Frauen 65-</t>
  </si>
  <si>
    <t>durschn Rente Thüringen Frauen</t>
  </si>
  <si>
    <t>Ausgaben RA</t>
  </si>
  <si>
    <t>zahlt der BUND weiter!</t>
  </si>
  <si>
    <t>*) Stand 31.12.2016, n. Thür. Landesamt f. Statistik</t>
  </si>
  <si>
    <t>Ergebnisübersicht</t>
  </si>
  <si>
    <t>1. Programmteil:</t>
  </si>
  <si>
    <t>Die Umsetzung des Subsidaritätsprinzips in Jena bewirkt, daß jährlich folgende Mittel</t>
  </si>
  <si>
    <t>erwirtschaftet werden können:</t>
  </si>
  <si>
    <t>Stadteigene Gesundheitskasse mit jährlichem Überschuß von</t>
  </si>
  <si>
    <t>Stadteigene Rentenkasse mit jährlichem Überschuß von</t>
  </si>
  <si>
    <t>% der</t>
  </si>
  <si>
    <t>Gewerbesteuer</t>
  </si>
  <si>
    <t>Steuern (umweltschädliche Betriebe):</t>
  </si>
  <si>
    <t>zusätzliche Einnahmen pro Jahr:</t>
  </si>
  <si>
    <t>2. Programmteil:</t>
  </si>
  <si>
    <t xml:space="preserve">Stadteigene Tankstellen mit jährlichem Überschuß von </t>
  </si>
  <si>
    <t>Zum Vergleich: Gesamte Ausgaben Stadt Jena =</t>
  </si>
  <si>
    <t>Mio. pro Jahr.</t>
  </si>
  <si>
    <t>Ohne die Steuereinnahmen der Stadt von jährlich</t>
  </si>
  <si>
    <t>Mio EUR mitzurechnen!</t>
  </si>
  <si>
    <t xml:space="preserve">Rechnet man diese hinzu, was ja zur Förderung des Umbaus nicht stattfinden würde, ergibt sich eine </t>
  </si>
  <si>
    <t xml:space="preserve">Einnahmensituation v. </t>
  </si>
  <si>
    <t xml:space="preserve">Mio + </t>
  </si>
  <si>
    <t xml:space="preserve">Mio = </t>
  </si>
  <si>
    <t>Mio EUR / J</t>
  </si>
  <si>
    <t>s. Übersicht „Städt. Steuereinnahmen“</t>
  </si>
  <si>
    <t>Dazu kommen:</t>
  </si>
  <si>
    <t>- Überschüsse Landwirtschaft</t>
  </si>
  <si>
    <t>- Überschüsse Forstwirtschaft</t>
  </si>
  <si>
    <t>- Überschüsse Energiewirtschaft</t>
  </si>
  <si>
    <t>- Überschüsse Wasser- und Abwasserwirtschaft</t>
  </si>
  <si>
    <t>- Überschüsse weiterer Zweckbetriebe</t>
  </si>
  <si>
    <t>Entschuldung der Stadt durch</t>
  </si>
  <si>
    <r>
      <t>einmalig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(vorsichtig geschätzt)</t>
    </r>
  </si>
  <si>
    <t>Tausch von</t>
  </si>
  <si>
    <t>% der Ersparnisse in städt. Zahlungsmittel:</t>
  </si>
  <si>
    <t>Vorteile des regionalen Zahlungsmittels „Jenataler“ s. Beiblatt</t>
  </si>
  <si>
    <r>
      <t xml:space="preserve">Mit den </t>
    </r>
    <r>
      <rPr>
        <b/>
        <sz val="12"/>
        <rFont val="Arial"/>
        <family val="2"/>
      </rPr>
      <t>Arbeitslosen</t>
    </r>
    <r>
      <rPr>
        <sz val="12"/>
        <rFont val="Arial"/>
        <family val="2"/>
      </rPr>
      <t xml:space="preserve"> steht eine bereits bezahlte Arbeitskraft von </t>
    </r>
  </si>
  <si>
    <t>Vollzeitbeschäftigten</t>
  </si>
  <si>
    <t xml:space="preserve">zur Verfügung, mit denen neue Projekte in der Stadt umgesetzt werden, wobei jeder Einzelne </t>
  </si>
  <si>
    <t xml:space="preserve">dabei nur </t>
  </si>
  <si>
    <t>h pro Woche arbeiten würde.</t>
  </si>
  <si>
    <t>Umstellungen:</t>
  </si>
  <si>
    <t>- Die stadteigene Gesundheitskasse wird die einzige Pflichtversicherung für Gesundheit;</t>
  </si>
  <si>
    <t>- Die stadteigene Rentenkasse wird die einzige Rentenkasse;</t>
  </si>
  <si>
    <t>- Alle Menschen und Firmen erhalten ein kostenfreies Jenataler-Konto bei der Sparkasse;</t>
  </si>
  <si>
    <t>- Arbeitsbeschaffungsprogramme werden gestartet um Beschäftigung für alle zu ermöglichen;</t>
  </si>
  <si>
    <t>- Die Schulen erhalten neue Richtlinien, Kindergärten ebenso; Umstellungsunwillige werden aus dem Bildungsbereich entlassen und in anderen Bereichen eingesetzt;</t>
  </si>
  <si>
    <t>- Einige Produktbeschränkungen werden eingeführt: f. umweltschädliche/moralisch verwerfliche Produkte</t>
  </si>
  <si>
    <t>Privatvermögen der Deutschen (Jahr 2007)</t>
  </si>
  <si>
    <t>EUR</t>
  </si>
  <si>
    <t>(6,6 Billionen)</t>
  </si>
  <si>
    <t>davon Geldvermögen in %</t>
  </si>
  <si>
    <t>Vermögenssituation in Jena / Entschuldung der Stadt / Infrastruktur schaffen</t>
  </si>
  <si>
    <t>Geldvermögen der Deutschen (2007) lt. Studie 2007</t>
  </si>
  <si>
    <t>(3,23 Billionen)</t>
  </si>
  <si>
    <t>Gesamtverm. pro Person über 17 Jahren („alte“ Bundesländer)</t>
  </si>
  <si>
    <t>Gesamtvermögen / Person, Median ärmere Hälfte d. Bev. („alte“ BL)</t>
  </si>
  <si>
    <t>Einwohner Jena, über 17 Jahre:</t>
  </si>
  <si>
    <t>Geldvermögen / Person über 17 J „neue“ Bundesländer Quelle: Bundesbankstudie</t>
  </si>
  <si>
    <t>1. Geldvermögen in Jena</t>
  </si>
  <si>
    <t>die Hälfte davon</t>
  </si>
  <si>
    <r>
      <t xml:space="preserve">Geldvermögen / Person, Median </t>
    </r>
    <r>
      <rPr>
        <u val="single"/>
        <sz val="12"/>
        <rFont val="Arial"/>
        <family val="2"/>
      </rPr>
      <t>ärmere Hälfte d. Bev.</t>
    </r>
    <r>
      <rPr>
        <sz val="12"/>
        <rFont val="Arial"/>
        <family val="2"/>
      </rPr>
      <t>, „neue“ BL</t>
    </r>
  </si>
  <si>
    <t>2. Geldvermögen in Jena (mit hoher Wahrscheinlichkeit)</t>
  </si>
  <si>
    <r>
      <t>Schulden Stadt Jena (Sep. 2017)</t>
    </r>
    <r>
      <rPr>
        <sz val="10"/>
        <rFont val="Arial"/>
        <family val="2"/>
      </rPr>
      <t xml:space="preserve"> lt. Quartalsber. Komm. Finanzen III/2017 S. 66</t>
    </r>
  </si>
  <si>
    <t>1. Schulden in % vom Geldvermögen</t>
  </si>
  <si>
    <t>2. Schulden in % vom Geldvermögen</t>
  </si>
  <si>
    <t>Schulden pro Person</t>
  </si>
  <si>
    <t>Umtausch in Städtisches Zahlungsmittel von</t>
  </si>
  <si>
    <t>% =</t>
  </si>
  <si>
    <t>abzgl. Schulden s. Übersicht</t>
  </si>
  <si>
    <t>Betrag der für Infrastrukturprojekte zur Verfügung steht:</t>
  </si>
  <si>
    <t xml:space="preserve">.==&gt;&gt; Bsp.: Wechseln die Jenaer Bürger </t>
  </si>
  <si>
    <t>% ihrer Ersparnisse in den</t>
  </si>
  <si>
    <t xml:space="preserve">Jenataler, fließen der Stadt zusätzlich rund </t>
  </si>
  <si>
    <t xml:space="preserve">Mio. EUR zu. </t>
  </si>
  <si>
    <t>Damit kann die Stadt schuldenfrei werden und wunderbare Infrastrukturprojekte umsetzen.</t>
  </si>
  <si>
    <t xml:space="preserve">Die Bürger von Jena erleidern dadurch keinen Verlust, weil sie mit dem Jenataler in den Zweckbetrieben </t>
  </si>
  <si>
    <t>einkaufen und auch andere kommunale Gebühren entrichten können.</t>
  </si>
  <si>
    <t>Quelle: Böckler Impuls 1/2009</t>
  </si>
  <si>
    <t>Quelle: Joachim R. Frick und Markus M. Grabka: Gestiegene</t>
  </si>
  <si>
    <t>Einnahmen Tankstellen</t>
  </si>
  <si>
    <t>PKW in D (Stand 1/2014)</t>
  </si>
  <si>
    <t>kg/l</t>
  </si>
  <si>
    <t>bei Benzin</t>
  </si>
  <si>
    <t>Anteil Einwohner / 82,5 Mio</t>
  </si>
  <si>
    <t>PKW in Jena</t>
  </si>
  <si>
    <t>Verbrauch 2016</t>
  </si>
  <si>
    <t>Ottokraftstoff</t>
  </si>
  <si>
    <t>kg</t>
  </si>
  <si>
    <t>l</t>
  </si>
  <si>
    <t>Dieselkraftstoff</t>
  </si>
  <si>
    <t>Summe</t>
  </si>
  <si>
    <t>.=&gt;In Jena</t>
  </si>
  <si>
    <t>Mio l</t>
  </si>
  <si>
    <t>Preis je l</t>
  </si>
  <si>
    <t>Verdünnungsfaktor:</t>
  </si>
  <si>
    <t>Verfahren durch Verwirbelung m. H2O strecken</t>
  </si>
  <si>
    <t>Preis inkl. Tankstellenpächter</t>
  </si>
  <si>
    <t>Verkaufspreis</t>
  </si>
  <si>
    <t>EUR/l</t>
  </si>
  <si>
    <t>Marge je l</t>
  </si>
  <si>
    <t>Ertrag Jena</t>
  </si>
  <si>
    <t>Tanktourismus Umland</t>
  </si>
  <si>
    <t>zusätzliche Liter</t>
  </si>
  <si>
    <t>Ertrag Tanktourismus</t>
  </si>
  <si>
    <t>Ertrag gesamt</t>
  </si>
  <si>
    <t>Zusammensetzung Benzinpreis</t>
  </si>
  <si>
    <t>Steuern+Abg. Ölstaaten</t>
  </si>
  <si>
    <t>Deckungsbeitrag</t>
  </si>
  <si>
    <t>Ölfirmen, Tankstellen</t>
  </si>
  <si>
    <t>MinÖlSteuer</t>
  </si>
  <si>
    <t>Z-Summe</t>
  </si>
  <si>
    <t>MWSt</t>
  </si>
  <si>
    <t>Nach Umstellung</t>
  </si>
  <si>
    <t>Ölfirmen</t>
  </si>
  <si>
    <t>Einsparung</t>
  </si>
  <si>
    <t>/l</t>
  </si>
  <si>
    <t>Quelle: International Energy Agency (IEA): Energy Statistics Division 09/2013, Key World Energy Statistics 2010, © OECD/IEA</t>
  </si>
  <si>
    <t>Bundeszentrale für politische Bildung, 2013, www.bpb.de</t>
  </si>
</sst>
</file>

<file path=xl/styles.xml><?xml version="1.0" encoding="utf-8"?>
<styleSheet xmlns="http://schemas.openxmlformats.org/spreadsheetml/2006/main">
  <numFmts count="20">
    <numFmt numFmtId="164" formatCode="GENERAL"/>
    <numFmt numFmtId="165" formatCode="#,##0"/>
    <numFmt numFmtId="166" formatCode="0"/>
    <numFmt numFmtId="167" formatCode="0.0%"/>
    <numFmt numFmtId="168" formatCode="0.000"/>
    <numFmt numFmtId="169" formatCode="#,##0\ [$€-407];[RED]\-#,##0\ [$€-407]"/>
    <numFmt numFmtId="170" formatCode="#,##0\ [$€-407];\-#,##0\ [$€-407]"/>
    <numFmt numFmtId="171" formatCode="0.0"/>
    <numFmt numFmtId="172" formatCode="0.00E+000"/>
    <numFmt numFmtId="173" formatCode="0%"/>
    <numFmt numFmtId="174" formatCode="0.000E+00"/>
    <numFmt numFmtId="175" formatCode="0.00%"/>
    <numFmt numFmtId="176" formatCode="#,##0.0"/>
    <numFmt numFmtId="177" formatCode="0.0000E+00"/>
    <numFmt numFmtId="178" formatCode="#,##0.00"/>
    <numFmt numFmtId="179" formatCode="0.00"/>
    <numFmt numFmtId="180" formatCode="#,##0.00\ [$€-407];[RED]\-#,##0.00\ [$€-407]"/>
    <numFmt numFmtId="181" formatCode="0.0000"/>
    <numFmt numFmtId="182" formatCode="#,##0.0000\ [$€-407];[RED]\-#,##0.0000\ [$€-407]"/>
    <numFmt numFmtId="183" formatCode="#,##0.00\ [$€-407];\-#,##0.00\ [$€-407]"/>
  </numFmts>
  <fonts count="11"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Segoe UI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Alignment="1">
      <alignment horizontal="righ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/>
    </xf>
    <xf numFmtId="165" fontId="3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164" fontId="3" fillId="0" borderId="1" xfId="0" applyFont="1" applyFill="1" applyBorder="1" applyAlignment="1">
      <alignment/>
    </xf>
    <xf numFmtId="166" fontId="6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7" fillId="0" borderId="0" xfId="0" applyFont="1" applyAlignment="1">
      <alignment/>
    </xf>
    <xf numFmtId="169" fontId="3" fillId="0" borderId="0" xfId="0" applyNumberFormat="1" applyFont="1" applyFill="1" applyBorder="1" applyAlignment="1">
      <alignment/>
    </xf>
    <xf numFmtId="169" fontId="3" fillId="0" borderId="1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167" fontId="3" fillId="0" borderId="1" xfId="0" applyNumberFormat="1" applyFont="1" applyFill="1" applyBorder="1" applyAlignment="1">
      <alignment/>
    </xf>
    <xf numFmtId="169" fontId="3" fillId="0" borderId="0" xfId="0" applyNumberFormat="1" applyFont="1" applyAlignment="1">
      <alignment horizontal="center"/>
    </xf>
    <xf numFmtId="170" fontId="3" fillId="0" borderId="1" xfId="0" applyNumberFormat="1" applyFont="1" applyFill="1" applyBorder="1" applyAlignment="1">
      <alignment/>
    </xf>
    <xf numFmtId="169" fontId="0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9" fontId="0" fillId="0" borderId="0" xfId="0" applyNumberFormat="1" applyAlignment="1">
      <alignment/>
    </xf>
    <xf numFmtId="164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left"/>
    </xf>
    <xf numFmtId="171" fontId="3" fillId="0" borderId="0" xfId="0" applyNumberFormat="1" applyFont="1" applyAlignment="1">
      <alignment/>
    </xf>
    <xf numFmtId="166" fontId="3" fillId="0" borderId="2" xfId="0" applyNumberFormat="1" applyFont="1" applyBorder="1" applyAlignment="1">
      <alignment horizontal="left"/>
    </xf>
    <xf numFmtId="164" fontId="3" fillId="0" borderId="0" xfId="0" applyFont="1" applyAlignment="1">
      <alignment wrapText="1"/>
    </xf>
    <xf numFmtId="169" fontId="3" fillId="0" borderId="1" xfId="0" applyNumberFormat="1" applyFont="1" applyFill="1" applyBorder="1" applyAlignment="1">
      <alignment/>
    </xf>
    <xf numFmtId="170" fontId="3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6" fillId="0" borderId="0" xfId="0" applyFont="1" applyFill="1" applyAlignment="1">
      <alignment horizontal="right"/>
    </xf>
    <xf numFmtId="166" fontId="6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164" fontId="3" fillId="0" borderId="3" xfId="0" applyFont="1" applyBorder="1" applyAlignment="1">
      <alignment/>
    </xf>
    <xf numFmtId="169" fontId="3" fillId="0" borderId="3" xfId="0" applyNumberFormat="1" applyFont="1" applyBorder="1" applyAlignment="1">
      <alignment/>
    </xf>
    <xf numFmtId="166" fontId="6" fillId="0" borderId="1" xfId="0" applyNumberFormat="1" applyFont="1" applyFill="1" applyBorder="1" applyAlignment="1">
      <alignment horizontal="center"/>
    </xf>
    <xf numFmtId="164" fontId="3" fillId="0" borderId="0" xfId="0" applyFont="1" applyAlignment="1">
      <alignment/>
    </xf>
    <xf numFmtId="164" fontId="6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4" fontId="3" fillId="0" borderId="0" xfId="0" applyFont="1" applyBorder="1" applyAlignment="1">
      <alignment wrapText="1"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64" fontId="4" fillId="0" borderId="0" xfId="0" applyFont="1" applyAlignment="1">
      <alignment/>
    </xf>
    <xf numFmtId="174" fontId="6" fillId="0" borderId="0" xfId="0" applyNumberFormat="1" applyFont="1" applyAlignment="1">
      <alignment/>
    </xf>
    <xf numFmtId="165" fontId="3" fillId="0" borderId="1" xfId="0" applyNumberFormat="1" applyFont="1" applyFill="1" applyBorder="1" applyAlignment="1">
      <alignment horizontal="left"/>
    </xf>
    <xf numFmtId="165" fontId="3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176" fontId="1" fillId="0" borderId="1" xfId="0" applyNumberFormat="1" applyFont="1" applyFill="1" applyBorder="1" applyAlignment="1">
      <alignment/>
    </xf>
    <xf numFmtId="164" fontId="1" fillId="0" borderId="0" xfId="0" applyFont="1" applyAlignment="1">
      <alignment horizontal="center"/>
    </xf>
    <xf numFmtId="175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3" fillId="0" borderId="0" xfId="0" applyFont="1" applyBorder="1" applyAlignment="1">
      <alignment/>
    </xf>
    <xf numFmtId="174" fontId="3" fillId="0" borderId="0" xfId="0" applyNumberFormat="1" applyFont="1" applyAlignment="1">
      <alignment/>
    </xf>
    <xf numFmtId="174" fontId="3" fillId="0" borderId="1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3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right"/>
    </xf>
    <xf numFmtId="174" fontId="6" fillId="0" borderId="0" xfId="0" applyNumberFormat="1" applyFont="1" applyBorder="1" applyAlignment="1">
      <alignment/>
    </xf>
    <xf numFmtId="164" fontId="6" fillId="0" borderId="0" xfId="0" applyFont="1" applyBorder="1" applyAlignment="1">
      <alignment/>
    </xf>
    <xf numFmtId="171" fontId="3" fillId="0" borderId="0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9" fontId="3" fillId="0" borderId="1" xfId="0" applyNumberFormat="1" applyFont="1" applyFill="1" applyBorder="1" applyAlignment="1">
      <alignment/>
    </xf>
    <xf numFmtId="179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64" fontId="6" fillId="0" borderId="0" xfId="0" applyFont="1" applyAlignment="1">
      <alignment horizontal="left"/>
    </xf>
    <xf numFmtId="164" fontId="6" fillId="0" borderId="3" xfId="0" applyFont="1" applyBorder="1" applyAlignment="1">
      <alignment/>
    </xf>
    <xf numFmtId="165" fontId="6" fillId="0" borderId="3" xfId="0" applyNumberFormat="1" applyFont="1" applyBorder="1" applyAlignment="1">
      <alignment/>
    </xf>
    <xf numFmtId="164" fontId="6" fillId="0" borderId="3" xfId="0" applyFont="1" applyBorder="1" applyAlignment="1">
      <alignment horizontal="left"/>
    </xf>
    <xf numFmtId="164" fontId="3" fillId="0" borderId="3" xfId="0" applyFont="1" applyBorder="1" applyAlignment="1">
      <alignment horizontal="center"/>
    </xf>
    <xf numFmtId="181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182" fontId="3" fillId="0" borderId="3" xfId="0" applyNumberFormat="1" applyFont="1" applyBorder="1" applyAlignment="1">
      <alignment/>
    </xf>
    <xf numFmtId="18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105" zoomScaleNormal="105" workbookViewId="0" topLeftCell="A1">
      <selection activeCell="C17" sqref="C17"/>
    </sheetView>
  </sheetViews>
  <sheetFormatPr defaultColWidth="12.57421875" defaultRowHeight="12.75"/>
  <cols>
    <col min="1" max="1" width="50.8515625" style="0" customWidth="1"/>
    <col min="2" max="2" width="16.7109375" style="0" customWidth="1"/>
    <col min="3" max="3" width="15.00390625" style="0" customWidth="1"/>
    <col min="4" max="4" width="16.00390625" style="0" customWidth="1"/>
    <col min="5" max="5" width="20.57421875" style="0" customWidth="1"/>
    <col min="6" max="16384" width="11.57421875" style="0" customWidth="1"/>
  </cols>
  <sheetData>
    <row r="1" spans="1:3" ht="12.75">
      <c r="A1" s="1"/>
      <c r="C1" s="2"/>
    </row>
    <row r="2" spans="1:3" ht="12.75">
      <c r="A2" s="1"/>
      <c r="C2" s="2"/>
    </row>
    <row r="3" spans="1:3" ht="12.75">
      <c r="A3" s="3" t="s">
        <v>0</v>
      </c>
      <c r="C3" s="2"/>
    </row>
    <row r="4" ht="12.75">
      <c r="C4" s="2"/>
    </row>
    <row r="5" spans="1:5" ht="12.75">
      <c r="A5" s="4"/>
      <c r="B5" s="4"/>
      <c r="C5" s="5" t="s">
        <v>1</v>
      </c>
      <c r="D5" s="4"/>
      <c r="E5" s="4"/>
    </row>
    <row r="6" spans="1:5" ht="12.75">
      <c r="A6" s="4" t="s">
        <v>2</v>
      </c>
      <c r="B6" s="6">
        <v>105282</v>
      </c>
      <c r="C6" s="7">
        <v>90349</v>
      </c>
      <c r="D6" s="4" t="s">
        <v>3</v>
      </c>
      <c r="E6" s="4"/>
    </row>
    <row r="7" spans="1:5" ht="12.75">
      <c r="A7" s="4" t="s">
        <v>4</v>
      </c>
      <c r="B7" s="8">
        <f>292044000/1000000</f>
        <v>292.044</v>
      </c>
      <c r="C7" s="9" t="s">
        <v>5</v>
      </c>
      <c r="D7" s="4" t="s">
        <v>6</v>
      </c>
      <c r="E7" s="4"/>
    </row>
    <row r="8" spans="1:5" ht="12.75">
      <c r="A8" s="4"/>
      <c r="B8" s="10"/>
      <c r="C8" s="9"/>
      <c r="D8" s="4"/>
      <c r="E8" s="4"/>
    </row>
    <row r="9" spans="1:5" ht="12.75">
      <c r="A9" s="4"/>
      <c r="B9" s="10"/>
      <c r="C9" s="9"/>
      <c r="D9" s="4"/>
      <c r="E9" s="4"/>
    </row>
    <row r="10" spans="1:4" ht="12.75">
      <c r="A10" s="4" t="s">
        <v>7</v>
      </c>
      <c r="B10" s="6">
        <v>65000</v>
      </c>
      <c r="C10" s="11" t="s">
        <v>8</v>
      </c>
      <c r="D10" s="4"/>
    </row>
    <row r="11" spans="1:5" ht="12.75">
      <c r="A11" s="4" t="s">
        <v>9</v>
      </c>
      <c r="B11" s="6">
        <v>7256</v>
      </c>
      <c r="C11" s="10"/>
      <c r="D11" s="4"/>
      <c r="E11" s="4"/>
    </row>
    <row r="12" spans="1:5" ht="15">
      <c r="A12" s="4" t="s">
        <v>10</v>
      </c>
      <c r="B12" s="6">
        <v>889</v>
      </c>
      <c r="C12" s="10"/>
      <c r="D12" s="4"/>
      <c r="E12" s="4"/>
    </row>
    <row r="13" spans="1:5" ht="15">
      <c r="A13" s="4" t="s">
        <v>11</v>
      </c>
      <c r="B13" s="6">
        <v>3206</v>
      </c>
      <c r="C13" s="10"/>
      <c r="D13" s="4"/>
      <c r="E13" s="4"/>
    </row>
    <row r="14" spans="1:5" ht="15">
      <c r="A14" s="12" t="s">
        <v>12</v>
      </c>
      <c r="B14" s="13">
        <f>B12+B13</f>
        <v>4095</v>
      </c>
      <c r="C14" s="5"/>
      <c r="D14" s="4"/>
      <c r="E14" s="4"/>
    </row>
    <row r="15" spans="1:5" ht="15">
      <c r="A15" s="4" t="s">
        <v>13</v>
      </c>
      <c r="B15" s="6">
        <v>28066</v>
      </c>
      <c r="C15" s="11" t="s">
        <v>3</v>
      </c>
      <c r="D15" s="14"/>
      <c r="E15" s="4"/>
    </row>
    <row r="16" spans="1:5" ht="15">
      <c r="A16" s="4" t="s">
        <v>14</v>
      </c>
      <c r="B16" s="6">
        <v>4700</v>
      </c>
      <c r="C16" s="11" t="s">
        <v>3</v>
      </c>
      <c r="D16" s="4"/>
      <c r="E16" s="4"/>
    </row>
    <row r="17" spans="1:5" ht="12.75">
      <c r="A17" s="4" t="s">
        <v>15</v>
      </c>
      <c r="B17" s="6">
        <v>2615</v>
      </c>
      <c r="C17" s="4"/>
      <c r="D17" s="4"/>
      <c r="E17" s="4"/>
    </row>
    <row r="20" spans="1:3" ht="12.75">
      <c r="A20" s="1"/>
      <c r="B20" s="15"/>
      <c r="C20" s="15"/>
    </row>
    <row r="21" spans="1:3" ht="12.75">
      <c r="A21" s="1"/>
      <c r="B21" s="15"/>
      <c r="C21" s="15"/>
    </row>
    <row r="22" ht="12.75">
      <c r="A22" s="3" t="s">
        <v>16</v>
      </c>
    </row>
    <row r="24" spans="1:3" ht="12.75">
      <c r="A24" s="4" t="s">
        <v>17</v>
      </c>
      <c r="B24" s="4"/>
      <c r="C24" s="4"/>
    </row>
    <row r="25" spans="1:3" ht="12.75">
      <c r="A25" s="4"/>
      <c r="B25" s="4"/>
      <c r="C25" s="4"/>
    </row>
    <row r="26" spans="1:3" ht="12.75">
      <c r="A26" s="4" t="s">
        <v>18</v>
      </c>
      <c r="B26" s="4"/>
      <c r="C26" s="4"/>
    </row>
    <row r="27" spans="1:3" ht="12.75">
      <c r="A27" s="4"/>
      <c r="B27" s="4"/>
      <c r="C27" s="4"/>
    </row>
    <row r="28" spans="1:3" ht="12.75">
      <c r="A28" s="4" t="s">
        <v>19</v>
      </c>
      <c r="B28" s="16">
        <f>B10</f>
        <v>65000</v>
      </c>
      <c r="C28" s="17"/>
    </row>
    <row r="29" spans="1:3" ht="12.75">
      <c r="A29" s="4"/>
      <c r="B29" s="4"/>
      <c r="C29" s="4"/>
    </row>
    <row r="30" spans="1:3" ht="12.75">
      <c r="A30" s="4"/>
      <c r="B30" s="4"/>
      <c r="C30" s="4"/>
    </row>
    <row r="31" spans="1:3" ht="12.75">
      <c r="A31" s="4" t="s">
        <v>20</v>
      </c>
      <c r="B31" s="16">
        <f>B12</f>
        <v>889</v>
      </c>
      <c r="C31" s="4"/>
    </row>
    <row r="32" spans="1:3" ht="12.75">
      <c r="A32" s="4" t="s">
        <v>21</v>
      </c>
      <c r="B32" s="16">
        <f>B13</f>
        <v>3206</v>
      </c>
      <c r="C32" s="4"/>
    </row>
    <row r="33" spans="1:3" ht="12.75">
      <c r="A33" s="18" t="s">
        <v>22</v>
      </c>
      <c r="B33" s="19">
        <f>SUM(B31:B32)</f>
        <v>4095</v>
      </c>
      <c r="C33" s="18"/>
    </row>
    <row r="34" spans="1:3" ht="12.75">
      <c r="A34" s="4" t="s">
        <v>23</v>
      </c>
      <c r="B34" s="20">
        <f>B33/B28</f>
        <v>0.063</v>
      </c>
      <c r="C34" s="21"/>
    </row>
    <row r="35" spans="1:3" ht="12.75">
      <c r="A35" s="4" t="s">
        <v>24</v>
      </c>
      <c r="B35" s="22" t="s">
        <v>25</v>
      </c>
      <c r="C35" s="4"/>
    </row>
    <row r="36" spans="1:3" ht="12.75">
      <c r="A36" s="4" t="s">
        <v>26</v>
      </c>
      <c r="B36" s="16">
        <f>B11</f>
        <v>7256</v>
      </c>
      <c r="C36" s="4"/>
    </row>
    <row r="37" spans="1:3" ht="12.75">
      <c r="A37" s="4" t="s">
        <v>27</v>
      </c>
      <c r="B37" s="20">
        <f>B36/B28</f>
        <v>0.11163076923076923</v>
      </c>
      <c r="C37" s="4"/>
    </row>
    <row r="38" spans="1:3" ht="12.75">
      <c r="A38" s="4"/>
      <c r="B38" s="4"/>
      <c r="C38" s="4"/>
    </row>
    <row r="39" spans="1:3" ht="12.75">
      <c r="A39" s="4"/>
      <c r="B39" s="4"/>
      <c r="C39" s="4"/>
    </row>
    <row r="40" spans="1:3" ht="12.75">
      <c r="A40" s="4" t="s">
        <v>28</v>
      </c>
      <c r="B40" s="23">
        <v>10</v>
      </c>
      <c r="C40" s="4" t="s">
        <v>29</v>
      </c>
    </row>
    <row r="41" spans="1:3" ht="12.75">
      <c r="A41" s="4"/>
      <c r="B41" s="4"/>
      <c r="C41" s="4"/>
    </row>
    <row r="42" spans="1:3" ht="12.75">
      <c r="A42" s="4" t="s">
        <v>30</v>
      </c>
      <c r="B42" s="16">
        <f>B40*B33</f>
        <v>40950</v>
      </c>
      <c r="C42" s="4" t="s">
        <v>29</v>
      </c>
    </row>
    <row r="43" spans="1:3" ht="12.75">
      <c r="A43" s="4"/>
      <c r="B43" s="4"/>
      <c r="C43" s="4"/>
    </row>
    <row r="44" spans="1:3" ht="12.75">
      <c r="A44" s="18" t="s">
        <v>31</v>
      </c>
      <c r="B44" s="24">
        <f>B42/40</f>
        <v>1023.75</v>
      </c>
      <c r="C44" s="4" t="s">
        <v>32</v>
      </c>
    </row>
    <row r="45" spans="1:3" ht="12.75">
      <c r="A45" s="4"/>
      <c r="B45" s="4"/>
      <c r="C45" s="4"/>
    </row>
    <row r="46" spans="1:3" ht="12.75">
      <c r="A46" s="4" t="s">
        <v>33</v>
      </c>
      <c r="B46" s="4"/>
      <c r="C46" s="4"/>
    </row>
  </sheetData>
  <sheetProtection selectLockedCells="1" selectUnlockedCells="1"/>
  <printOptions/>
  <pageMargins left="0.7875" right="0.7875" top="1.0805555555555555" bottom="1.025" header="0.7875" footer="0.7875"/>
  <pageSetup firstPageNumber="1" useFirstPageNumber="1" horizontalDpi="300" verticalDpi="300" orientation="portrait" paperSize="9" scale="76"/>
  <headerFooter alignWithMargins="0">
    <oddHeader>&amp;C&amp;14Neue Wege in Jena&amp;R&amp;11&amp;D</oddHeader>
    <oddFooter>&amp;CSeite 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="105" zoomScaleNormal="105" workbookViewId="0" topLeftCell="A1">
      <selection activeCell="B53" sqref="B53"/>
    </sheetView>
  </sheetViews>
  <sheetFormatPr defaultColWidth="12.57421875" defaultRowHeight="12.75"/>
  <cols>
    <col min="1" max="1" width="45.00390625" style="0" customWidth="1"/>
    <col min="2" max="2" width="17.57421875" style="0" customWidth="1"/>
    <col min="3" max="3" width="17.28125" style="0" customWidth="1"/>
    <col min="4" max="4" width="10.57421875" style="0" customWidth="1"/>
    <col min="5" max="5" width="10.140625" style="0" customWidth="1"/>
    <col min="6" max="6" width="12.7109375" style="0" customWidth="1"/>
    <col min="7" max="7" width="5.421875" style="0" customWidth="1"/>
    <col min="8" max="16384" width="11.57421875" style="0" customWidth="1"/>
  </cols>
  <sheetData>
    <row r="1" spans="1:2" ht="12.75">
      <c r="A1" s="1"/>
      <c r="B1" s="25"/>
    </row>
    <row r="2" spans="1:2" ht="12.75">
      <c r="A2" s="1"/>
      <c r="B2" s="25"/>
    </row>
    <row r="3" spans="1:2" ht="16.5">
      <c r="A3" s="3" t="s">
        <v>34</v>
      </c>
      <c r="B3" s="25"/>
    </row>
    <row r="4" ht="12.75">
      <c r="B4" s="25"/>
    </row>
    <row r="5" spans="1:8" ht="15">
      <c r="A5" s="26" t="s">
        <v>7</v>
      </c>
      <c r="B5" s="14">
        <f>Grunddaten!B10</f>
        <v>65000</v>
      </c>
      <c r="C5" s="4"/>
      <c r="D5" s="5" t="s">
        <v>35</v>
      </c>
      <c r="E5" s="4"/>
      <c r="F5" s="5"/>
      <c r="G5" s="4"/>
      <c r="H5" s="4"/>
    </row>
    <row r="6" spans="1:8" ht="12.75">
      <c r="A6" s="4" t="s">
        <v>36</v>
      </c>
      <c r="B6" s="27">
        <f>D6/12</f>
        <v>2791.6666666666665</v>
      </c>
      <c r="C6" s="4" t="s">
        <v>37</v>
      </c>
      <c r="D6" s="28">
        <v>33500</v>
      </c>
      <c r="E6" s="29" t="s">
        <v>38</v>
      </c>
      <c r="F6" s="5"/>
      <c r="G6" s="4"/>
      <c r="H6" s="4"/>
    </row>
    <row r="7" spans="1:8" ht="12.75">
      <c r="A7" s="4" t="s">
        <v>39</v>
      </c>
      <c r="B7" s="30">
        <v>0.14</v>
      </c>
      <c r="C7" s="31"/>
      <c r="D7" s="29">
        <f>B7*D$6</f>
        <v>4690</v>
      </c>
      <c r="E7" s="29" t="s">
        <v>38</v>
      </c>
      <c r="F7" s="5"/>
      <c r="G7" s="4"/>
      <c r="H7" s="4"/>
    </row>
    <row r="8" spans="1:8" ht="12.75">
      <c r="A8" s="4" t="s">
        <v>40</v>
      </c>
      <c r="B8" s="23">
        <v>30</v>
      </c>
      <c r="C8" s="4" t="s">
        <v>41</v>
      </c>
      <c r="D8" s="31">
        <f>B6*B7*B8/100</f>
        <v>117.25000000000001</v>
      </c>
      <c r="E8" s="29" t="s">
        <v>42</v>
      </c>
      <c r="F8" s="5"/>
      <c r="G8" s="4"/>
      <c r="H8" s="4"/>
    </row>
    <row r="9" spans="1:8" ht="12.75">
      <c r="A9" s="4" t="s">
        <v>43</v>
      </c>
      <c r="B9" s="17">
        <f>(100-B8)/100*D7*B5/1000000</f>
        <v>213.395</v>
      </c>
      <c r="C9" s="4" t="s">
        <v>44</v>
      </c>
      <c r="D9" s="4"/>
      <c r="E9" s="4"/>
      <c r="F9" s="4"/>
      <c r="G9" s="4"/>
      <c r="H9" s="4"/>
    </row>
    <row r="10" spans="1:8" ht="15">
      <c r="A10" s="4"/>
      <c r="B10" s="29"/>
      <c r="C10" s="4"/>
      <c r="D10" s="4"/>
      <c r="E10" s="4"/>
      <c r="F10" s="4"/>
      <c r="G10" s="4"/>
      <c r="H10" s="4"/>
    </row>
    <row r="11" spans="1:8" ht="12.75">
      <c r="A11" s="26" t="s">
        <v>14</v>
      </c>
      <c r="B11" s="14">
        <f>Grunddaten!B16</f>
        <v>4700</v>
      </c>
      <c r="C11" s="4"/>
      <c r="D11" s="4"/>
      <c r="E11" s="4"/>
      <c r="F11" s="4"/>
      <c r="G11" s="4"/>
      <c r="H11" s="4"/>
    </row>
    <row r="12" spans="1:8" ht="12.75">
      <c r="A12" s="4" t="s">
        <v>39</v>
      </c>
      <c r="B12" s="32">
        <v>250</v>
      </c>
      <c r="C12" s="31"/>
      <c r="D12" s="29">
        <f>B12*12</f>
        <v>3000</v>
      </c>
      <c r="E12" s="29" t="s">
        <v>38</v>
      </c>
      <c r="F12" s="4"/>
      <c r="G12" s="4"/>
      <c r="H12" s="4"/>
    </row>
    <row r="13" spans="1:8" ht="12.75">
      <c r="A13" s="4" t="s">
        <v>40</v>
      </c>
      <c r="B13" s="10">
        <f>B8</f>
        <v>30</v>
      </c>
      <c r="C13" s="4" t="s">
        <v>41</v>
      </c>
      <c r="D13" s="29">
        <f>B12*B13/100</f>
        <v>75</v>
      </c>
      <c r="E13" s="33"/>
      <c r="F13" s="4"/>
      <c r="G13" s="4"/>
      <c r="H13" s="4"/>
    </row>
    <row r="14" spans="1:8" ht="12.75">
      <c r="A14" s="4" t="s">
        <v>43</v>
      </c>
      <c r="B14" s="17">
        <f>(100-B13)/100*D12*B11/1000000</f>
        <v>9.87</v>
      </c>
      <c r="C14" s="4" t="s">
        <v>44</v>
      </c>
      <c r="D14" s="4"/>
      <c r="E14" s="4"/>
      <c r="F14" s="4"/>
      <c r="G14" s="4"/>
      <c r="H14" s="4"/>
    </row>
    <row r="15" spans="1:8" ht="12.75">
      <c r="A15" s="18" t="s">
        <v>45</v>
      </c>
      <c r="B15" s="24">
        <f>B9+B14</f>
        <v>223.26500000000001</v>
      </c>
      <c r="C15" s="4" t="s">
        <v>44</v>
      </c>
      <c r="D15" s="4"/>
      <c r="E15" s="4"/>
      <c r="F15" s="4"/>
      <c r="G15" s="4"/>
      <c r="H15" s="4"/>
    </row>
    <row r="16" spans="1:8" ht="12.75">
      <c r="A16" s="18"/>
      <c r="B16" s="34"/>
      <c r="C16" s="4"/>
      <c r="D16" s="4"/>
      <c r="E16" s="4"/>
      <c r="F16" s="4"/>
      <c r="G16" s="4"/>
      <c r="H16" s="4"/>
    </row>
    <row r="17" spans="1:8" ht="12.75">
      <c r="A17" s="18" t="s">
        <v>46</v>
      </c>
      <c r="B17" s="34"/>
      <c r="C17" s="4"/>
      <c r="D17" s="4"/>
      <c r="E17" s="4"/>
      <c r="F17" s="4"/>
      <c r="G17" s="4"/>
      <c r="H17" s="4"/>
    </row>
    <row r="18" spans="1:8" ht="12.75">
      <c r="A18" s="4" t="s">
        <v>47</v>
      </c>
      <c r="B18" s="34"/>
      <c r="C18" s="4"/>
      <c r="D18" s="4"/>
      <c r="E18" s="4"/>
      <c r="F18" s="4"/>
      <c r="G18" s="4"/>
      <c r="H18" s="4"/>
    </row>
    <row r="19" spans="1:8" ht="12.75">
      <c r="A19" s="4" t="s">
        <v>48</v>
      </c>
      <c r="B19" s="34"/>
      <c r="C19" s="4"/>
      <c r="D19" s="4"/>
      <c r="E19" s="4"/>
      <c r="F19" s="4"/>
      <c r="G19" s="4"/>
      <c r="H19" s="4"/>
    </row>
    <row r="20" spans="1:8" ht="12.75">
      <c r="A20" s="4"/>
      <c r="B20" s="29"/>
      <c r="C20" s="4"/>
      <c r="D20" s="4"/>
      <c r="E20" s="4"/>
      <c r="F20" s="4"/>
      <c r="G20" s="4"/>
      <c r="H20" s="4"/>
    </row>
    <row r="21" spans="1:2" ht="12.75">
      <c r="A21" s="4"/>
      <c r="B21" s="35"/>
    </row>
    <row r="22" spans="1:2" ht="12.75">
      <c r="A22" s="4"/>
      <c r="B22" s="35"/>
    </row>
    <row r="23" spans="1:2" ht="15">
      <c r="A23" s="4"/>
      <c r="B23" s="35"/>
    </row>
    <row r="24" ht="16.5">
      <c r="A24" s="3" t="s">
        <v>49</v>
      </c>
    </row>
    <row r="25" spans="1:8" ht="12.75">
      <c r="A25" s="4" t="s">
        <v>50</v>
      </c>
      <c r="B25" s="30">
        <v>0.18</v>
      </c>
      <c r="C25" s="31"/>
      <c r="D25" s="29">
        <f>B25*D$6</f>
        <v>6030</v>
      </c>
      <c r="E25" s="29" t="s">
        <v>51</v>
      </c>
      <c r="F25" s="4"/>
      <c r="G25" s="4"/>
      <c r="H25" s="4"/>
    </row>
    <row r="26" spans="1:8" ht="15">
      <c r="A26" s="4" t="s">
        <v>52</v>
      </c>
      <c r="B26" s="17">
        <f>D25*B5/1000000</f>
        <v>391.95</v>
      </c>
      <c r="C26" s="4" t="s">
        <v>44</v>
      </c>
      <c r="D26" s="4"/>
      <c r="E26" s="4"/>
      <c r="F26" s="4"/>
      <c r="G26" s="4"/>
      <c r="H26" s="4"/>
    </row>
    <row r="27" spans="1:8" ht="12.75">
      <c r="A27" s="4"/>
      <c r="B27" s="17"/>
      <c r="C27" s="4"/>
      <c r="D27" s="4"/>
      <c r="E27" s="4"/>
      <c r="F27" s="4"/>
      <c r="G27" s="4"/>
      <c r="H27" s="4"/>
    </row>
    <row r="28" spans="1:8" ht="15">
      <c r="A28" s="4"/>
      <c r="C28" s="4"/>
      <c r="D28" s="5"/>
      <c r="E28" s="36" t="s">
        <v>53</v>
      </c>
      <c r="F28" s="37">
        <f>9304/15</f>
        <v>620.2666666666667</v>
      </c>
      <c r="G28" s="4"/>
      <c r="H28" s="4"/>
    </row>
    <row r="29" spans="1:8" ht="12.75">
      <c r="A29" s="4" t="s">
        <v>54</v>
      </c>
      <c r="B29" s="38">
        <f>F28*B47/1000000</f>
        <v>7.9195648</v>
      </c>
      <c r="C29" s="12" t="s">
        <v>55</v>
      </c>
      <c r="D29" s="4"/>
      <c r="E29" s="36" t="s">
        <v>56</v>
      </c>
      <c r="F29" s="29">
        <f>B47</f>
        <v>12768</v>
      </c>
      <c r="G29" s="4"/>
      <c r="H29" s="4"/>
    </row>
    <row r="30" spans="1:8" ht="12.75">
      <c r="A30" s="4"/>
      <c r="C30" s="4"/>
      <c r="D30" s="5"/>
      <c r="E30" s="36" t="s">
        <v>57</v>
      </c>
      <c r="F30" s="37">
        <f>9653/15</f>
        <v>643.5333333333333</v>
      </c>
      <c r="G30" s="4"/>
      <c r="H30" s="4"/>
    </row>
    <row r="31" spans="1:8" ht="12.75">
      <c r="A31" s="4" t="s">
        <v>58</v>
      </c>
      <c r="B31" s="38">
        <f>F30*B49/1000000</f>
        <v>7.475283199999999</v>
      </c>
      <c r="C31" s="12" t="s">
        <v>55</v>
      </c>
      <c r="D31" s="4"/>
      <c r="E31" s="36" t="s">
        <v>59</v>
      </c>
      <c r="F31" s="29">
        <f>B49</f>
        <v>11616</v>
      </c>
      <c r="G31" s="4"/>
      <c r="H31" s="4"/>
    </row>
    <row r="32" spans="1:8" ht="12.75">
      <c r="A32" s="4"/>
      <c r="B32" s="29"/>
      <c r="C32" s="4"/>
      <c r="D32" s="4"/>
      <c r="E32" s="36" t="s">
        <v>60</v>
      </c>
      <c r="F32" s="39">
        <f>F28+F30</f>
        <v>1263.8</v>
      </c>
      <c r="G32" s="13"/>
      <c r="H32" s="13"/>
    </row>
    <row r="33" spans="1:8" ht="12.75">
      <c r="A33" s="36" t="s">
        <v>61</v>
      </c>
      <c r="B33" s="29"/>
      <c r="C33" s="4"/>
      <c r="D33" s="4"/>
      <c r="E33" s="36"/>
      <c r="F33" s="37"/>
      <c r="G33" s="13"/>
      <c r="H33" s="40"/>
    </row>
    <row r="34" spans="1:8" ht="15">
      <c r="A34" s="36" t="s">
        <v>62</v>
      </c>
      <c r="B34" s="23">
        <v>2</v>
      </c>
      <c r="C34" s="4" t="s">
        <v>63</v>
      </c>
      <c r="D34" s="4"/>
      <c r="E34" s="4"/>
      <c r="F34" s="29"/>
      <c r="G34" s="4"/>
      <c r="H34" s="4"/>
    </row>
    <row r="35" spans="1:8" ht="15">
      <c r="A35" s="36" t="s">
        <v>64</v>
      </c>
      <c r="B35" s="23">
        <v>48</v>
      </c>
      <c r="C35" s="4" t="s">
        <v>65</v>
      </c>
      <c r="D35" s="4"/>
      <c r="E35" s="4"/>
      <c r="F35" s="29"/>
      <c r="G35" s="4"/>
      <c r="H35" s="4"/>
    </row>
    <row r="36" spans="1:8" ht="12.75">
      <c r="A36" s="36" t="s">
        <v>66</v>
      </c>
      <c r="B36" s="41">
        <v>1200</v>
      </c>
      <c r="C36" s="4" t="s">
        <v>67</v>
      </c>
      <c r="D36" s="4"/>
      <c r="E36" s="4"/>
      <c r="F36" s="29"/>
      <c r="G36" s="4"/>
      <c r="H36" s="4"/>
    </row>
    <row r="37" spans="1:8" ht="12.75">
      <c r="A37" s="36" t="s">
        <v>68</v>
      </c>
      <c r="B37" s="17">
        <f>F32/B34</f>
        <v>631.9</v>
      </c>
      <c r="C37" s="4" t="s">
        <v>69</v>
      </c>
      <c r="D37" s="4"/>
      <c r="E37" s="4"/>
      <c r="F37" s="29"/>
      <c r="G37" s="4"/>
      <c r="H37" s="4"/>
    </row>
    <row r="38" spans="1:8" ht="12.75">
      <c r="A38" s="36" t="s">
        <v>70</v>
      </c>
      <c r="B38" s="17">
        <f>B35*B36*B37/1000000</f>
        <v>36.39744</v>
      </c>
      <c r="C38" s="4" t="s">
        <v>44</v>
      </c>
      <c r="D38" s="17">
        <f>B38/B26*100</f>
        <v>9.286245694603904</v>
      </c>
      <c r="E38" s="4" t="s">
        <v>71</v>
      </c>
      <c r="F38" s="29"/>
      <c r="G38" s="4"/>
      <c r="H38" s="4"/>
    </row>
    <row r="39" spans="1:8" ht="12.75">
      <c r="A39" s="4"/>
      <c r="B39" s="42"/>
      <c r="C39" s="4"/>
      <c r="D39" s="4"/>
      <c r="E39" s="4"/>
      <c r="F39" s="29"/>
      <c r="G39" s="4"/>
      <c r="H39" s="4"/>
    </row>
    <row r="40" spans="1:8" ht="12.75">
      <c r="A40" s="36" t="s">
        <v>72</v>
      </c>
      <c r="B40" s="17">
        <f>SUM(B27:B31)+B38</f>
        <v>51.792288</v>
      </c>
      <c r="C40" s="4" t="s">
        <v>44</v>
      </c>
      <c r="D40" s="4"/>
      <c r="E40" s="4"/>
      <c r="F40" s="4"/>
      <c r="G40" s="4"/>
      <c r="H40" s="4"/>
    </row>
    <row r="41" spans="1:8" ht="12.75">
      <c r="A41" s="18" t="s">
        <v>73</v>
      </c>
      <c r="B41" s="24">
        <f>B26-B40-B38</f>
        <v>303.760272</v>
      </c>
      <c r="C41" s="4" t="s">
        <v>44</v>
      </c>
      <c r="D41" s="4"/>
      <c r="E41" s="4"/>
      <c r="F41" s="4"/>
      <c r="G41" s="4"/>
      <c r="H41" s="4"/>
    </row>
    <row r="42" spans="1:8" ht="12.75">
      <c r="A42" s="18" t="s">
        <v>74</v>
      </c>
      <c r="B42" s="24">
        <f>B15+B41</f>
        <v>527.025272</v>
      </c>
      <c r="C42" s="4" t="s">
        <v>44</v>
      </c>
      <c r="D42" s="4"/>
      <c r="E42" s="4"/>
      <c r="F42" s="4"/>
      <c r="G42" s="4"/>
      <c r="H42" s="4"/>
    </row>
    <row r="43" spans="1:8" ht="12.75">
      <c r="A43" s="18"/>
      <c r="B43" s="43"/>
      <c r="C43" s="4"/>
      <c r="D43" s="4"/>
      <c r="E43" s="4"/>
      <c r="F43" s="4"/>
      <c r="G43" s="4"/>
      <c r="H43" s="4"/>
    </row>
    <row r="44" spans="1:6" ht="12.75">
      <c r="A44" s="4" t="s">
        <v>75</v>
      </c>
      <c r="B44" s="42"/>
      <c r="C44" s="4"/>
      <c r="D44" s="4"/>
      <c r="E44" s="4" t="s">
        <v>76</v>
      </c>
      <c r="F44" s="4"/>
    </row>
    <row r="45" spans="1:6" ht="12.75">
      <c r="A45" s="4" t="str">
        <f>Grunddaten!A15</f>
        <v>Rentner (ü 60 jährige)</v>
      </c>
      <c r="B45" s="16">
        <f>Grunddaten!B15</f>
        <v>28066</v>
      </c>
      <c r="C45" s="4"/>
      <c r="D45" s="12" t="s">
        <v>77</v>
      </c>
      <c r="E45" s="44">
        <f>B45-B46-B48</f>
        <v>5024</v>
      </c>
      <c r="F45" s="4"/>
    </row>
    <row r="46" spans="1:6" ht="12.75">
      <c r="A46" s="4" t="s">
        <v>78</v>
      </c>
      <c r="B46" s="23">
        <v>9838</v>
      </c>
      <c r="D46" s="45">
        <f>B46/(B46+B48)*100</f>
        <v>42.69594653241906</v>
      </c>
      <c r="E46" s="44">
        <f>E$45*D46/100</f>
        <v>2145.0443537887336</v>
      </c>
      <c r="F46" s="4" t="s">
        <v>79</v>
      </c>
    </row>
    <row r="47" spans="1:6" ht="12.75">
      <c r="A47" s="4" t="s">
        <v>80</v>
      </c>
      <c r="B47" s="29">
        <f>1064*12</f>
        <v>12768</v>
      </c>
      <c r="C47" s="4" t="s">
        <v>38</v>
      </c>
      <c r="D47" s="45"/>
      <c r="E47" s="44"/>
      <c r="F47" s="4"/>
    </row>
    <row r="48" spans="1:6" ht="12.75">
      <c r="A48" s="4" t="s">
        <v>81</v>
      </c>
      <c r="B48" s="23">
        <v>13204</v>
      </c>
      <c r="C48" s="4"/>
      <c r="D48" s="45">
        <f>B48/(B48+B46)*100</f>
        <v>57.30405346758094</v>
      </c>
      <c r="E48" s="44">
        <f>E$45*D48/100</f>
        <v>2878.9556462112664</v>
      </c>
      <c r="F48" s="4" t="s">
        <v>79</v>
      </c>
    </row>
    <row r="49" spans="1:8" ht="12.75">
      <c r="A49" s="4" t="s">
        <v>82</v>
      </c>
      <c r="B49" s="29">
        <f>968*12</f>
        <v>11616</v>
      </c>
      <c r="C49" s="4" t="s">
        <v>38</v>
      </c>
      <c r="D49" s="5"/>
      <c r="E49" s="4"/>
      <c r="F49" s="4"/>
      <c r="G49" s="4"/>
      <c r="H49" s="4"/>
    </row>
    <row r="50" spans="1:8" ht="12.75">
      <c r="A50" s="4" t="s">
        <v>83</v>
      </c>
      <c r="B50" s="29">
        <f>B46*B47+B48*B49+E46*B47+E48*B49</f>
        <v>339819123.0955646</v>
      </c>
      <c r="C50" s="46" t="s">
        <v>84</v>
      </c>
      <c r="D50" s="5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 t="s">
        <v>85</v>
      </c>
      <c r="C52" s="4"/>
      <c r="D52" s="4"/>
      <c r="E52" s="4"/>
      <c r="F52" s="4"/>
      <c r="G52" s="4"/>
      <c r="H52" s="4"/>
    </row>
  </sheetData>
  <sheetProtection selectLockedCells="1" selectUnlockedCells="1"/>
  <mergeCells count="1">
    <mergeCell ref="G32:H32"/>
  </mergeCells>
  <printOptions/>
  <pageMargins left="0.7875" right="0.7875" top="1.0805555555555555" bottom="1.025" header="0.7875" footer="0.7875"/>
  <pageSetup firstPageNumber="3" useFirstPageNumber="1" horizontalDpi="300" verticalDpi="300" orientation="portrait" paperSize="9" scale="76"/>
  <headerFooter alignWithMargins="0">
    <oddHeader>&amp;C&amp;14Neue Wege in Jena&amp;R&amp;11&amp;D</oddHeader>
    <oddFooter>&amp;CSeite 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I48"/>
  <sheetViews>
    <sheetView zoomScale="105" zoomScaleNormal="105" workbookViewId="0" topLeftCell="A2">
      <selection activeCell="G19" sqref="G19"/>
    </sheetView>
  </sheetViews>
  <sheetFormatPr defaultColWidth="12.57421875" defaultRowHeight="12.75"/>
  <cols>
    <col min="1" max="1" width="13.8515625" style="0" customWidth="1"/>
    <col min="2" max="2" width="12.421875" style="0" customWidth="1"/>
    <col min="3" max="3" width="12.00390625" style="0" customWidth="1"/>
    <col min="4" max="4" width="13.00390625" style="0" customWidth="1"/>
    <col min="5" max="5" width="17.00390625" style="0" customWidth="1"/>
    <col min="6" max="6" width="16.00390625" style="0" customWidth="1"/>
    <col min="7" max="7" width="11.57421875" style="0" customWidth="1"/>
    <col min="8" max="8" width="8.00390625" style="0" customWidth="1"/>
    <col min="9" max="9" width="9.57421875" style="0" customWidth="1"/>
    <col min="10" max="16384" width="11.57421875" style="0" customWidth="1"/>
  </cols>
  <sheetData>
    <row r="1" s="15" customFormat="1" ht="12.75"/>
    <row r="2" s="15" customFormat="1" ht="12.75"/>
    <row r="3" ht="12.75">
      <c r="A3" s="47" t="s">
        <v>86</v>
      </c>
    </row>
    <row r="4" ht="12.75">
      <c r="A4" s="48"/>
    </row>
    <row r="5" spans="1:9" ht="12.75">
      <c r="A5" s="4" t="s">
        <v>87</v>
      </c>
      <c r="B5" s="4"/>
      <c r="C5" s="4"/>
      <c r="D5" s="4"/>
      <c r="E5" s="4"/>
      <c r="F5" s="4"/>
      <c r="G5" s="4"/>
      <c r="H5" s="4"/>
      <c r="I5" s="4"/>
    </row>
    <row r="6" spans="1:9" ht="12.75">
      <c r="A6" s="4" t="s">
        <v>88</v>
      </c>
      <c r="B6" s="4"/>
      <c r="C6" s="4"/>
      <c r="D6" s="4"/>
      <c r="E6" s="4"/>
      <c r="F6" s="4"/>
      <c r="G6" s="4"/>
      <c r="H6" s="4"/>
      <c r="I6" s="4"/>
    </row>
    <row r="7" spans="1:9" ht="12.75">
      <c r="A7" s="4" t="s">
        <v>89</v>
      </c>
      <c r="B7" s="4"/>
      <c r="C7" s="4"/>
      <c r="D7" s="4"/>
      <c r="E7" s="4"/>
      <c r="F7" s="4"/>
      <c r="G7" s="4"/>
      <c r="H7" s="4"/>
      <c r="I7" s="4"/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9" ht="12.75">
      <c r="A9" s="4" t="s">
        <v>90</v>
      </c>
      <c r="B9" s="4"/>
      <c r="C9" s="4"/>
      <c r="D9" s="4"/>
      <c r="E9" s="4"/>
      <c r="F9" s="17">
        <f>'Gesundheits- u. Rentenabsicherung'!B15</f>
        <v>223.26500000000001</v>
      </c>
      <c r="G9" s="4" t="s">
        <v>55</v>
      </c>
      <c r="H9" s="4"/>
      <c r="I9" s="4"/>
    </row>
    <row r="10" spans="1:9" ht="12.75">
      <c r="A10" s="4"/>
      <c r="B10" s="4"/>
      <c r="C10" s="4"/>
      <c r="D10" s="4"/>
      <c r="E10" s="4"/>
      <c r="F10" s="17"/>
      <c r="G10" s="4"/>
      <c r="H10" s="4"/>
      <c r="I10" s="4"/>
    </row>
    <row r="11" spans="1:9" ht="12.75">
      <c r="A11" s="4" t="s">
        <v>91</v>
      </c>
      <c r="B11" s="4"/>
      <c r="C11" s="4"/>
      <c r="D11" s="4"/>
      <c r="E11" s="4"/>
      <c r="F11" s="17">
        <f>'Gesundheits- u. Rentenabsicherung'!B41</f>
        <v>303.760272</v>
      </c>
      <c r="G11" s="4" t="s">
        <v>55</v>
      </c>
      <c r="H11" s="4"/>
      <c r="I11" s="4"/>
    </row>
    <row r="12" spans="1:9" ht="12.75">
      <c r="A12" s="4"/>
      <c r="B12" s="4"/>
      <c r="C12" s="4"/>
      <c r="D12" s="4"/>
      <c r="F12" s="17"/>
      <c r="G12" s="4"/>
      <c r="H12" s="4"/>
      <c r="I12" s="4"/>
    </row>
    <row r="13" spans="1:9" ht="12.75">
      <c r="A13" s="4"/>
      <c r="B13" s="4"/>
      <c r="C13" s="4"/>
      <c r="D13" s="5" t="s">
        <v>92</v>
      </c>
      <c r="E13" s="4" t="s">
        <v>93</v>
      </c>
      <c r="F13" s="17"/>
      <c r="G13" s="4"/>
      <c r="H13" s="4"/>
      <c r="I13" s="4"/>
    </row>
    <row r="14" spans="1:9" ht="12.75">
      <c r="A14" s="4" t="s">
        <v>94</v>
      </c>
      <c r="B14" s="4"/>
      <c r="C14" s="4"/>
      <c r="D14" s="49">
        <v>10</v>
      </c>
      <c r="E14" s="6">
        <f>63156000/1000000</f>
        <v>63.156</v>
      </c>
      <c r="F14" s="17">
        <f>E14*D14/100</f>
        <v>6.3156</v>
      </c>
      <c r="G14" s="4" t="s">
        <v>55</v>
      </c>
      <c r="H14" s="4"/>
      <c r="I14" s="4"/>
    </row>
    <row r="15" spans="1:9" ht="12.75">
      <c r="A15" s="4"/>
      <c r="B15" s="4"/>
      <c r="C15" s="4"/>
      <c r="D15" s="50"/>
      <c r="E15" s="9"/>
      <c r="F15" s="17"/>
      <c r="G15" s="4"/>
      <c r="H15" s="4"/>
      <c r="I15" s="36"/>
    </row>
    <row r="16" spans="1:7" ht="12.75">
      <c r="A16" s="4"/>
      <c r="B16" s="4"/>
      <c r="C16" s="4"/>
      <c r="D16" s="50"/>
      <c r="E16" s="51" t="s">
        <v>95</v>
      </c>
      <c r="F16" s="24">
        <f>SUM(F9:F14)</f>
        <v>533.340872</v>
      </c>
      <c r="G16" s="18" t="s">
        <v>55</v>
      </c>
    </row>
    <row r="17" spans="1:7" ht="12.75">
      <c r="A17" s="4"/>
      <c r="B17" s="4"/>
      <c r="C17" s="4"/>
      <c r="D17" s="50"/>
      <c r="E17" s="52"/>
      <c r="F17" s="24"/>
      <c r="G17" s="18"/>
    </row>
    <row r="18" spans="1:9" ht="12.75">
      <c r="A18" s="4" t="s">
        <v>96</v>
      </c>
      <c r="B18" s="4"/>
      <c r="C18" s="4"/>
      <c r="D18" s="50"/>
      <c r="E18" s="9"/>
      <c r="H18" s="4"/>
      <c r="I18" s="53"/>
    </row>
    <row r="19" spans="1:9" ht="12.75">
      <c r="A19" s="4" t="s">
        <v>97</v>
      </c>
      <c r="B19" s="4"/>
      <c r="C19" s="4"/>
      <c r="D19" s="4"/>
      <c r="E19" s="4"/>
      <c r="F19" s="17">
        <f>Tankstellen!D28</f>
        <v>52.93057779451981</v>
      </c>
      <c r="G19" s="4" t="s">
        <v>55</v>
      </c>
      <c r="H19" s="4"/>
      <c r="I19" s="53"/>
    </row>
    <row r="20" spans="1:9" ht="12.75">
      <c r="A20" s="4"/>
      <c r="B20" s="4"/>
      <c r="C20" s="4"/>
      <c r="D20" s="50"/>
      <c r="E20" s="54"/>
      <c r="F20" s="34"/>
      <c r="G20" s="52"/>
      <c r="H20" s="4"/>
      <c r="I20" s="53"/>
    </row>
    <row r="21" spans="1:9" ht="12.75">
      <c r="A21" s="55" t="s">
        <v>98</v>
      </c>
      <c r="B21" s="18"/>
      <c r="C21" s="18"/>
      <c r="D21" s="18"/>
      <c r="F21" s="56">
        <f>Grunddaten!B7</f>
        <v>292.044</v>
      </c>
      <c r="G21" s="18" t="s">
        <v>99</v>
      </c>
      <c r="H21" s="18"/>
      <c r="I21" s="53"/>
    </row>
    <row r="22" spans="1:9" ht="12.75">
      <c r="A22" s="57"/>
      <c r="B22" s="57"/>
      <c r="C22" s="57"/>
      <c r="D22" s="57"/>
      <c r="E22" s="57"/>
      <c r="F22" s="58"/>
      <c r="G22" s="57"/>
      <c r="H22" s="57"/>
      <c r="I22" s="57"/>
    </row>
    <row r="23" spans="1:9" ht="12.75">
      <c r="A23" s="18" t="s">
        <v>100</v>
      </c>
      <c r="B23" s="18"/>
      <c r="C23" s="18"/>
      <c r="D23" s="18"/>
      <c r="F23" s="59">
        <v>111.9</v>
      </c>
      <c r="G23" s="18" t="s">
        <v>101</v>
      </c>
      <c r="H23" s="4"/>
      <c r="I23" s="4"/>
    </row>
    <row r="24" spans="1:9" s="15" customFormat="1" ht="12.75">
      <c r="A24" s="4" t="s">
        <v>102</v>
      </c>
      <c r="B24" s="4"/>
      <c r="C24" s="4"/>
      <c r="D24" s="4"/>
      <c r="E24" s="4"/>
      <c r="F24" s="4"/>
      <c r="G24" s="4"/>
      <c r="H24" s="4"/>
      <c r="I24" s="4"/>
    </row>
    <row r="25" spans="1:9" s="1" customFormat="1" ht="12.75">
      <c r="A25" s="18" t="s">
        <v>103</v>
      </c>
      <c r="C25" s="56">
        <f>F16</f>
        <v>533.340872</v>
      </c>
      <c r="D25" s="18" t="s">
        <v>104</v>
      </c>
      <c r="E25" s="56">
        <f>F23</f>
        <v>111.9</v>
      </c>
      <c r="F25" s="18" t="s">
        <v>105</v>
      </c>
      <c r="G25" s="56">
        <f>C25+E25</f>
        <v>645.240872</v>
      </c>
      <c r="H25" s="18" t="s">
        <v>106</v>
      </c>
      <c r="I25" s="18"/>
    </row>
    <row r="26" spans="1:9" ht="12.75">
      <c r="A26" s="18"/>
      <c r="C26" s="56"/>
      <c r="D26" s="18"/>
      <c r="E26" s="60" t="s">
        <v>107</v>
      </c>
      <c r="F26" s="18"/>
      <c r="G26" s="56"/>
      <c r="H26" s="18"/>
      <c r="I26" s="4"/>
    </row>
    <row r="27" spans="1:9" ht="12.75">
      <c r="A27" s="18" t="s">
        <v>108</v>
      </c>
      <c r="B27" s="18"/>
      <c r="C27" s="56"/>
      <c r="D27" s="18"/>
      <c r="E27" s="61"/>
      <c r="F27" s="18"/>
      <c r="G27" s="56"/>
      <c r="H27" s="18"/>
      <c r="I27" s="4"/>
    </row>
    <row r="28" spans="1:9" ht="12.75">
      <c r="A28" s="4" t="s">
        <v>109</v>
      </c>
      <c r="B28" s="18"/>
      <c r="C28" s="56"/>
      <c r="D28" s="18"/>
      <c r="E28" s="61"/>
      <c r="F28" s="18"/>
      <c r="G28" s="56"/>
      <c r="H28" s="18"/>
      <c r="I28" s="4"/>
    </row>
    <row r="29" spans="1:9" ht="12.75">
      <c r="A29" s="4" t="s">
        <v>110</v>
      </c>
      <c r="B29" s="18"/>
      <c r="C29" s="56"/>
      <c r="D29" s="18"/>
      <c r="E29" s="61"/>
      <c r="F29" s="18"/>
      <c r="G29" s="56"/>
      <c r="H29" s="18"/>
      <c r="I29" s="4"/>
    </row>
    <row r="30" spans="1:9" ht="12.75">
      <c r="A30" s="4" t="s">
        <v>111</v>
      </c>
      <c r="B30" s="18"/>
      <c r="C30" s="56"/>
      <c r="D30" s="18"/>
      <c r="E30" s="61"/>
      <c r="F30" s="18"/>
      <c r="G30" s="56"/>
      <c r="H30" s="18"/>
      <c r="I30" s="4"/>
    </row>
    <row r="31" spans="1:9" ht="12.75">
      <c r="A31" s="4" t="s">
        <v>112</v>
      </c>
      <c r="B31" s="18"/>
      <c r="C31" s="56"/>
      <c r="D31" s="18"/>
      <c r="E31" s="61"/>
      <c r="F31" s="18"/>
      <c r="G31" s="56"/>
      <c r="H31" s="18"/>
      <c r="I31" s="4"/>
    </row>
    <row r="32" spans="1:9" ht="12.75">
      <c r="A32" s="4" t="s">
        <v>113</v>
      </c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18" t="s">
        <v>114</v>
      </c>
      <c r="B34" s="4"/>
      <c r="C34" s="4"/>
      <c r="D34" s="4"/>
      <c r="E34" s="4"/>
      <c r="F34" s="4"/>
      <c r="G34" s="55" t="s">
        <v>115</v>
      </c>
      <c r="H34" s="4"/>
      <c r="I34" s="4"/>
    </row>
    <row r="35" spans="1:9" ht="12.75">
      <c r="A35" s="18" t="s">
        <v>116</v>
      </c>
      <c r="B35" s="18">
        <f>Vermögenssituation!A26</f>
        <v>10</v>
      </c>
      <c r="C35" s="18" t="s">
        <v>117</v>
      </c>
      <c r="D35" s="18"/>
      <c r="E35" s="18"/>
      <c r="G35" s="24">
        <f>Vermögenssituation!C26</f>
        <v>48.336715</v>
      </c>
      <c r="H35" s="4" t="s">
        <v>55</v>
      </c>
      <c r="I35" s="4"/>
    </row>
    <row r="36" spans="1:9" ht="12.75">
      <c r="A36" s="18" t="s">
        <v>118</v>
      </c>
      <c r="B36" s="4"/>
      <c r="C36" s="4"/>
      <c r="D36" s="4"/>
      <c r="E36" s="4"/>
      <c r="F36" s="62"/>
      <c r="H36" s="4"/>
      <c r="I36" s="4"/>
    </row>
    <row r="38" spans="1:9" ht="12.75">
      <c r="A38" s="4" t="s">
        <v>119</v>
      </c>
      <c r="B38" s="4"/>
      <c r="C38" s="4"/>
      <c r="D38" s="4"/>
      <c r="E38" s="4"/>
      <c r="F38" s="37">
        <f>Grunddaten!B33</f>
        <v>4095</v>
      </c>
      <c r="G38" s="4" t="s">
        <v>120</v>
      </c>
      <c r="H38" s="4"/>
      <c r="I38" s="4"/>
    </row>
    <row r="39" spans="1:9" ht="12.75">
      <c r="A39" s="4" t="s">
        <v>121</v>
      </c>
      <c r="B39" s="4"/>
      <c r="C39" s="4"/>
      <c r="D39" s="4"/>
      <c r="E39" s="4"/>
      <c r="F39" s="4"/>
      <c r="G39" s="4"/>
      <c r="H39" s="4"/>
      <c r="I39" s="4"/>
    </row>
    <row r="40" spans="1:9" ht="12.75">
      <c r="A40" s="4" t="s">
        <v>122</v>
      </c>
      <c r="B40" s="16">
        <f>Grunddaten!B40</f>
        <v>10</v>
      </c>
      <c r="C40" s="4" t="s">
        <v>123</v>
      </c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18" t="s">
        <v>124</v>
      </c>
      <c r="B42" s="4"/>
      <c r="C42" s="4"/>
      <c r="D42" s="4"/>
      <c r="E42" s="4"/>
      <c r="F42" s="4"/>
      <c r="G42" s="4"/>
      <c r="H42" s="4"/>
      <c r="I42" s="4"/>
    </row>
    <row r="43" spans="1:9" ht="12.75">
      <c r="A43" s="4" t="s">
        <v>125</v>
      </c>
      <c r="B43" s="4"/>
      <c r="C43" s="4"/>
      <c r="D43" s="4"/>
      <c r="E43" s="4"/>
      <c r="F43" s="4"/>
      <c r="G43" s="4"/>
      <c r="H43" s="4"/>
      <c r="I43" s="4"/>
    </row>
    <row r="44" spans="1:9" ht="12.75">
      <c r="A44" s="4" t="s">
        <v>126</v>
      </c>
      <c r="B44" s="4"/>
      <c r="C44" s="4"/>
      <c r="D44" s="4"/>
      <c r="E44" s="4"/>
      <c r="F44" s="4"/>
      <c r="G44" s="4"/>
      <c r="H44" s="4"/>
      <c r="I44" s="4"/>
    </row>
    <row r="45" spans="1:9" ht="12.75">
      <c r="A45" s="4" t="s">
        <v>127</v>
      </c>
      <c r="C45" s="4"/>
      <c r="D45" s="4"/>
      <c r="E45" s="4"/>
      <c r="F45" s="4"/>
      <c r="G45" s="4"/>
      <c r="H45" s="4"/>
      <c r="I45" s="4"/>
    </row>
    <row r="46" spans="1:9" ht="12.75">
      <c r="A46" s="4" t="s">
        <v>128</v>
      </c>
      <c r="C46" s="4"/>
      <c r="D46" s="4"/>
      <c r="E46" s="4"/>
      <c r="F46" s="4"/>
      <c r="G46" s="4"/>
      <c r="H46" s="4"/>
      <c r="I46" s="4"/>
    </row>
    <row r="47" spans="1:9" ht="29.25" customHeight="1">
      <c r="A47" s="63" t="s">
        <v>129</v>
      </c>
      <c r="B47" s="63"/>
      <c r="C47" s="63"/>
      <c r="D47" s="63"/>
      <c r="E47" s="63"/>
      <c r="F47" s="63"/>
      <c r="G47" s="63"/>
      <c r="H47" s="63"/>
      <c r="I47" s="4"/>
    </row>
    <row r="48" spans="1:9" ht="12.75">
      <c r="A48" s="4" t="s">
        <v>130</v>
      </c>
      <c r="C48" s="4"/>
      <c r="D48" s="4"/>
      <c r="E48" s="4"/>
      <c r="F48" s="4"/>
      <c r="G48" s="4"/>
      <c r="H48" s="4"/>
      <c r="I48" s="4"/>
    </row>
  </sheetData>
  <sheetProtection selectLockedCells="1" selectUnlockedCells="1"/>
  <mergeCells count="1">
    <mergeCell ref="A47:H47"/>
  </mergeCells>
  <printOptions/>
  <pageMargins left="0.7875" right="0.7875" top="1.0805555555555555" bottom="1.025" header="0.7875" footer="0.7875"/>
  <pageSetup firstPageNumber="1" useFirstPageNumber="1" horizontalDpi="300" verticalDpi="300" orientation="portrait" paperSize="9" scale="76"/>
  <headerFooter alignWithMargins="0">
    <oddHeader>&amp;C&amp;14Neue Wege in Jena&amp;R&amp;11&amp;D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="105" zoomScaleNormal="105" workbookViewId="0" topLeftCell="A13">
      <selection activeCell="A37" sqref="A37"/>
    </sheetView>
  </sheetViews>
  <sheetFormatPr defaultColWidth="12.57421875" defaultRowHeight="12.75"/>
  <cols>
    <col min="1" max="1" width="56.7109375" style="0" customWidth="1"/>
    <col min="2" max="2" width="12.421875" style="0" customWidth="1"/>
    <col min="3" max="3" width="17.7109375" style="0" customWidth="1"/>
    <col min="4" max="4" width="7.421875" style="2" customWidth="1"/>
    <col min="5" max="5" width="13.421875" style="0" customWidth="1"/>
    <col min="6" max="6" width="11.57421875" style="0" customWidth="1"/>
    <col min="7" max="7" width="13.00390625" style="0" customWidth="1"/>
    <col min="8" max="16384" width="11.57421875" style="0" customWidth="1"/>
  </cols>
  <sheetData>
    <row r="1" spans="1:5" ht="12.75">
      <c r="A1" t="s">
        <v>131</v>
      </c>
      <c r="C1" s="64">
        <v>6600000000000</v>
      </c>
      <c r="D1" s="2" t="s">
        <v>132</v>
      </c>
      <c r="E1" t="s">
        <v>133</v>
      </c>
    </row>
    <row r="2" spans="1:3" ht="12.75">
      <c r="A2" t="s">
        <v>134</v>
      </c>
      <c r="C2" s="65">
        <v>0.489</v>
      </c>
    </row>
    <row r="3" ht="12.75">
      <c r="C3" s="65"/>
    </row>
    <row r="4" ht="12.75">
      <c r="C4" s="65"/>
    </row>
    <row r="5" spans="1:3" ht="12.75">
      <c r="A5" s="3" t="s">
        <v>135</v>
      </c>
      <c r="C5" s="65"/>
    </row>
    <row r="6" ht="12.75">
      <c r="C6" s="65"/>
    </row>
    <row r="7" spans="1:5" ht="12.75">
      <c r="A7" s="66" t="s">
        <v>136</v>
      </c>
      <c r="C7" s="25">
        <f>C1*C2</f>
        <v>3227400000000</v>
      </c>
      <c r="D7" s="2" t="s">
        <v>132</v>
      </c>
      <c r="E7" t="s">
        <v>137</v>
      </c>
    </row>
    <row r="8" spans="1:4" ht="12.75">
      <c r="A8" t="s">
        <v>138</v>
      </c>
      <c r="C8" s="25">
        <v>101208</v>
      </c>
      <c r="D8" s="2" t="s">
        <v>132</v>
      </c>
    </row>
    <row r="9" ht="12.75">
      <c r="D9"/>
    </row>
    <row r="10" spans="1:4" ht="12.75">
      <c r="A10" t="s">
        <v>139</v>
      </c>
      <c r="C10" s="25">
        <v>20110</v>
      </c>
      <c r="D10" s="2" t="s">
        <v>132</v>
      </c>
    </row>
    <row r="11" spans="1:2" ht="12.75">
      <c r="A11" s="36" t="s">
        <v>140</v>
      </c>
      <c r="B11" s="44">
        <f>Grunddaten!C6</f>
        <v>90349</v>
      </c>
    </row>
    <row r="12" spans="1:5" ht="12.75">
      <c r="A12" s="15" t="s">
        <v>141</v>
      </c>
      <c r="C12" s="6">
        <v>30200</v>
      </c>
      <c r="D12" s="2" t="s">
        <v>132</v>
      </c>
      <c r="E12" s="5"/>
    </row>
    <row r="13" spans="1:7" s="4" customFormat="1" ht="12.75">
      <c r="A13" s="4" t="s">
        <v>142</v>
      </c>
      <c r="C13" s="14">
        <f>B11*C12/1000000</f>
        <v>2728.5398</v>
      </c>
      <c r="D13" s="5" t="s">
        <v>55</v>
      </c>
      <c r="E13" s="62"/>
      <c r="G13" s="67"/>
    </row>
    <row r="14" spans="1:7" s="4" customFormat="1" ht="12.75">
      <c r="A14" s="4" t="s">
        <v>143</v>
      </c>
      <c r="C14" s="14">
        <f>C13/2</f>
        <v>1364.2699</v>
      </c>
      <c r="D14" s="5" t="s">
        <v>55</v>
      </c>
      <c r="E14" s="62"/>
      <c r="G14" s="67"/>
    </row>
    <row r="15" spans="3:7" s="4" customFormat="1" ht="12.75">
      <c r="C15" s="14"/>
      <c r="D15" s="5"/>
      <c r="E15" s="62"/>
      <c r="G15" s="67"/>
    </row>
    <row r="16" spans="1:7" s="4" customFormat="1" ht="12.75">
      <c r="A16" s="4" t="s">
        <v>144</v>
      </c>
      <c r="B16"/>
      <c r="C16" s="68">
        <v>10700</v>
      </c>
      <c r="D16" s="2" t="s">
        <v>132</v>
      </c>
      <c r="E16" s="62"/>
      <c r="G16" s="67"/>
    </row>
    <row r="17" spans="1:5" s="4" customFormat="1" ht="12.75">
      <c r="A17" s="4" t="s">
        <v>145</v>
      </c>
      <c r="B17" s="18"/>
      <c r="C17" s="69">
        <f>B11*C16/1000000</f>
        <v>966.7343</v>
      </c>
      <c r="D17" s="5" t="s">
        <v>55</v>
      </c>
      <c r="E17" s="62"/>
    </row>
    <row r="18" spans="1:5" ht="12.75">
      <c r="A18" s="18" t="s">
        <v>143</v>
      </c>
      <c r="C18" s="70">
        <f>C17/2</f>
        <v>483.36715</v>
      </c>
      <c r="D18" s="61" t="s">
        <v>55</v>
      </c>
      <c r="E18" s="62"/>
    </row>
    <row r="19" spans="1:5" ht="12.75">
      <c r="A19" s="4"/>
      <c r="C19" s="25"/>
      <c r="E19" s="62"/>
    </row>
    <row r="20" spans="1:5" ht="12.75">
      <c r="A20" s="1" t="s">
        <v>146</v>
      </c>
      <c r="C20" s="71">
        <f>22310000/1000000</f>
        <v>22.31</v>
      </c>
      <c r="D20" s="72" t="s">
        <v>55</v>
      </c>
      <c r="E20" s="62"/>
    </row>
    <row r="21" spans="1:4" s="4" customFormat="1" ht="12.75">
      <c r="A21" s="4" t="s">
        <v>147</v>
      </c>
      <c r="C21" s="73">
        <f>C20/C13</f>
        <v>0.008176534569882396</v>
      </c>
      <c r="D21" s="5"/>
    </row>
    <row r="22" spans="1:4" s="4" customFormat="1" ht="12.75">
      <c r="A22" s="4" t="s">
        <v>148</v>
      </c>
      <c r="C22" s="73">
        <f>C20/C17</f>
        <v>0.023077695701911063</v>
      </c>
      <c r="D22" s="5"/>
    </row>
    <row r="23" spans="1:4" s="4" customFormat="1" ht="12.75">
      <c r="A23" s="4" t="s">
        <v>149</v>
      </c>
      <c r="C23" s="25">
        <f>C20/B11*1000000</f>
        <v>246.93134401044836</v>
      </c>
      <c r="D23" s="5" t="s">
        <v>132</v>
      </c>
    </row>
    <row r="24" spans="3:4" s="4" customFormat="1" ht="12.75">
      <c r="C24" s="73"/>
      <c r="D24" s="5"/>
    </row>
    <row r="25" ht="12.75">
      <c r="A25" s="36" t="s">
        <v>150</v>
      </c>
    </row>
    <row r="26" spans="1:6" ht="12.75">
      <c r="A26" s="8">
        <v>10</v>
      </c>
      <c r="B26" s="4" t="s">
        <v>151</v>
      </c>
      <c r="C26" s="74">
        <f>C18*A26/100</f>
        <v>48.336715</v>
      </c>
      <c r="D26" s="5" t="s">
        <v>55</v>
      </c>
      <c r="F26" s="4"/>
    </row>
    <row r="27" spans="1:4" ht="12.75">
      <c r="A27" s="36" t="s">
        <v>152</v>
      </c>
      <c r="B27" s="4"/>
      <c r="C27" s="14">
        <f>C20</f>
        <v>22.31</v>
      </c>
      <c r="D27" s="5" t="s">
        <v>55</v>
      </c>
    </row>
    <row r="28" spans="1:4" ht="12.75">
      <c r="A28" s="18" t="s">
        <v>153</v>
      </c>
      <c r="B28" s="18"/>
      <c r="C28" s="75">
        <f>C26-C27</f>
        <v>26.026715</v>
      </c>
      <c r="D28" s="61" t="s">
        <v>55</v>
      </c>
    </row>
    <row r="30" spans="1:3" ht="12.75">
      <c r="A30" s="4" t="s">
        <v>154</v>
      </c>
      <c r="B30" s="4">
        <f>A26</f>
        <v>10</v>
      </c>
      <c r="C30" s="4" t="s">
        <v>155</v>
      </c>
    </row>
    <row r="31" spans="1:3" ht="12.75">
      <c r="A31" s="4" t="s">
        <v>156</v>
      </c>
      <c r="B31" s="17">
        <f>C28</f>
        <v>26.026715</v>
      </c>
      <c r="C31" s="4" t="s">
        <v>157</v>
      </c>
    </row>
    <row r="32" ht="12.75">
      <c r="A32" s="4" t="s">
        <v>158</v>
      </c>
    </row>
    <row r="33" ht="12.75">
      <c r="A33" s="4" t="s">
        <v>159</v>
      </c>
    </row>
    <row r="34" ht="12.75">
      <c r="A34" s="4" t="s">
        <v>160</v>
      </c>
    </row>
    <row r="36" ht="12.75">
      <c r="A36" s="4" t="s">
        <v>161</v>
      </c>
    </row>
    <row r="37" ht="12.75">
      <c r="A37" s="4" t="s">
        <v>162</v>
      </c>
    </row>
  </sheetData>
  <sheetProtection selectLockedCells="1" selectUnlockedCells="1"/>
  <printOptions/>
  <pageMargins left="0.7875" right="0.7875" top="1.0805555555555555" bottom="1.025" header="0.7875" footer="0.7875"/>
  <pageSetup horizontalDpi="300" verticalDpi="300" orientation="portrait" paperSize="9" scale="76"/>
  <headerFooter alignWithMargins="0">
    <oddHeader>&amp;C&amp;14Neue Wege in Jena&amp;R&amp;11&amp;D</oddHeader>
    <oddFooter>&amp;CSeite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="105" zoomScaleNormal="105" workbookViewId="0" topLeftCell="A10">
      <selection activeCell="D28" sqref="D28"/>
    </sheetView>
  </sheetViews>
  <sheetFormatPr defaultColWidth="12.57421875" defaultRowHeight="12.75"/>
  <cols>
    <col min="1" max="1" width="29.7109375" style="0" customWidth="1"/>
    <col min="2" max="2" width="14.28125" style="64" customWidth="1"/>
    <col min="3" max="3" width="11.57421875" style="0" customWidth="1"/>
    <col min="4" max="4" width="13.7109375" style="0" customWidth="1"/>
    <col min="5" max="6" width="11.57421875" style="0" customWidth="1"/>
    <col min="7" max="7" width="16.00390625" style="0" customWidth="1"/>
    <col min="8" max="8" width="21.140625" style="0" customWidth="1"/>
    <col min="9" max="16384" width="11.57421875" style="0" customWidth="1"/>
  </cols>
  <sheetData>
    <row r="1" ht="12.75">
      <c r="A1" s="1"/>
    </row>
    <row r="2" ht="12.75">
      <c r="A2" s="1"/>
    </row>
    <row r="3" ht="12.75">
      <c r="A3" s="18" t="s">
        <v>163</v>
      </c>
    </row>
    <row r="5" spans="1:7" ht="12.75">
      <c r="A5" s="4" t="s">
        <v>164</v>
      </c>
      <c r="B5" s="6">
        <v>43900000</v>
      </c>
      <c r="C5" s="10"/>
      <c r="D5" s="23">
        <v>0.75</v>
      </c>
      <c r="E5" s="4" t="s">
        <v>165</v>
      </c>
      <c r="F5" s="4" t="s">
        <v>166</v>
      </c>
      <c r="G5" s="4"/>
    </row>
    <row r="6" spans="1:7" ht="12.75">
      <c r="A6" s="76" t="s">
        <v>167</v>
      </c>
      <c r="B6" s="73">
        <f>Grunddaten!B6/82521653</f>
        <v>0.0012758106045209735</v>
      </c>
      <c r="C6" s="4"/>
      <c r="D6" s="4"/>
      <c r="E6" s="4"/>
      <c r="F6" s="4"/>
      <c r="G6" s="4"/>
    </row>
    <row r="7" spans="1:7" ht="12.75">
      <c r="A7" s="4" t="s">
        <v>168</v>
      </c>
      <c r="B7" s="14">
        <f>B5*B6</f>
        <v>56008.08553847074</v>
      </c>
      <c r="C7" s="4"/>
      <c r="D7" s="4"/>
      <c r="E7" s="4"/>
      <c r="F7" s="4"/>
      <c r="G7" s="4"/>
    </row>
    <row r="8" spans="1:7" ht="12.75">
      <c r="A8" s="5" t="s">
        <v>169</v>
      </c>
      <c r="B8" s="77"/>
      <c r="C8" s="4"/>
      <c r="D8" s="4"/>
      <c r="E8" s="4"/>
      <c r="F8" s="4"/>
      <c r="G8" s="4"/>
    </row>
    <row r="9" spans="1:7" ht="12.75">
      <c r="A9" s="4" t="s">
        <v>170</v>
      </c>
      <c r="B9" s="78">
        <v>17062300000</v>
      </c>
      <c r="C9" s="4" t="s">
        <v>171</v>
      </c>
      <c r="D9" s="79">
        <f>B9*$D$5</f>
        <v>12796725000</v>
      </c>
      <c r="E9" s="4" t="s">
        <v>172</v>
      </c>
      <c r="F9" s="4"/>
      <c r="G9" s="4"/>
    </row>
    <row r="10" spans="1:7" ht="12.75">
      <c r="A10" s="57" t="s">
        <v>173</v>
      </c>
      <c r="B10" s="78">
        <v>35751400000</v>
      </c>
      <c r="C10" s="57" t="s">
        <v>171</v>
      </c>
      <c r="D10" s="80">
        <f>B10*$D$5</f>
        <v>26813550000</v>
      </c>
      <c r="E10" s="4" t="s">
        <v>172</v>
      </c>
      <c r="F10" s="4"/>
      <c r="G10" s="4"/>
    </row>
    <row r="11" spans="1:7" ht="12.75">
      <c r="A11" s="36" t="s">
        <v>174</v>
      </c>
      <c r="B11" s="77">
        <f>SUM(B9:B10)</f>
        <v>52813700000</v>
      </c>
      <c r="C11" s="76" t="s">
        <v>171</v>
      </c>
      <c r="D11" s="79">
        <f>SUM(D9:D10)</f>
        <v>39610275000</v>
      </c>
      <c r="E11" s="4" t="s">
        <v>172</v>
      </c>
      <c r="F11" s="4"/>
      <c r="G11" s="4"/>
    </row>
    <row r="12" spans="1:7" ht="12.75">
      <c r="A12" s="4"/>
      <c r="B12" s="81"/>
      <c r="C12" s="76"/>
      <c r="D12" s="76"/>
      <c r="E12" s="4"/>
      <c r="F12" s="4"/>
      <c r="G12" s="4"/>
    </row>
    <row r="13" spans="1:7" ht="12.75">
      <c r="A13" s="4"/>
      <c r="B13" s="4"/>
      <c r="C13" s="4"/>
      <c r="D13" s="76"/>
      <c r="E13" s="4"/>
      <c r="F13" s="4"/>
      <c r="G13" s="4"/>
    </row>
    <row r="14" spans="1:7" ht="12.75">
      <c r="A14" s="82" t="s">
        <v>175</v>
      </c>
      <c r="B14" s="4"/>
      <c r="C14" s="4"/>
      <c r="D14" s="83">
        <f>D11*B6</f>
        <v>50535208.892992005</v>
      </c>
      <c r="E14" s="84" t="s">
        <v>172</v>
      </c>
      <c r="F14" s="85">
        <f>D14/1000000</f>
        <v>50.535208892992</v>
      </c>
      <c r="G14" s="4" t="s">
        <v>176</v>
      </c>
    </row>
    <row r="15" spans="1:7" ht="12.75">
      <c r="A15" s="4" t="s">
        <v>177</v>
      </c>
      <c r="B15" s="86">
        <f>B48</f>
        <v>0.6063000000000001</v>
      </c>
      <c r="C15" s="4"/>
      <c r="D15" s="4"/>
      <c r="E15" s="4"/>
      <c r="F15" s="4"/>
      <c r="G15" s="4"/>
    </row>
    <row r="16" spans="1:7" ht="12.75">
      <c r="A16" s="4" t="s">
        <v>177</v>
      </c>
      <c r="B16" s="86">
        <f>B15/E16</f>
        <v>0.6063000000000001</v>
      </c>
      <c r="C16" s="60" t="s">
        <v>178</v>
      </c>
      <c r="D16" s="4"/>
      <c r="E16" s="5">
        <v>1</v>
      </c>
      <c r="F16" s="4"/>
      <c r="G16" s="4"/>
    </row>
    <row r="17" spans="1:7" ht="12.75">
      <c r="A17" s="4"/>
      <c r="B17" s="86"/>
      <c r="C17" s="4" t="s">
        <v>179</v>
      </c>
      <c r="D17" s="4"/>
      <c r="E17" s="5"/>
      <c r="F17" s="4"/>
      <c r="G17" s="4"/>
    </row>
    <row r="18" spans="1:7" ht="12.75">
      <c r="A18" s="4" t="s">
        <v>180</v>
      </c>
      <c r="B18" s="86">
        <f>B16+0.02</f>
        <v>0.6263000000000001</v>
      </c>
      <c r="C18" s="4"/>
      <c r="D18" s="4"/>
      <c r="E18" s="5"/>
      <c r="F18" s="4"/>
      <c r="G18" s="4"/>
    </row>
    <row r="19" spans="1:7" ht="12.75">
      <c r="A19" s="4"/>
      <c r="B19" s="77"/>
      <c r="C19" s="4"/>
      <c r="D19" s="4"/>
      <c r="E19" s="5"/>
      <c r="F19" s="4"/>
      <c r="G19" s="4"/>
    </row>
    <row r="20" spans="1:7" ht="12.75">
      <c r="A20" s="4" t="s">
        <v>181</v>
      </c>
      <c r="B20" s="87">
        <v>1.15</v>
      </c>
      <c r="C20" s="4" t="s">
        <v>182</v>
      </c>
      <c r="D20" s="4"/>
      <c r="E20" s="4"/>
      <c r="F20" s="4"/>
      <c r="G20" s="4"/>
    </row>
    <row r="21" spans="1:7" ht="12.75">
      <c r="A21" s="4" t="s">
        <v>183</v>
      </c>
      <c r="B21" s="88">
        <f>B20-B18</f>
        <v>0.5236999999999998</v>
      </c>
      <c r="C21" s="4" t="s">
        <v>182</v>
      </c>
      <c r="D21" s="4"/>
      <c r="E21" s="4"/>
      <c r="F21" s="4"/>
      <c r="G21" s="4"/>
    </row>
    <row r="22" spans="1:7" ht="12.75">
      <c r="A22" s="18" t="s">
        <v>184</v>
      </c>
      <c r="B22" s="75">
        <f>B21*D14</f>
        <v>26465288.897259906</v>
      </c>
      <c r="C22" s="18" t="s">
        <v>132</v>
      </c>
      <c r="D22" s="4"/>
      <c r="E22" s="4"/>
      <c r="F22" s="4"/>
      <c r="G22" s="4"/>
    </row>
    <row r="23" spans="1:7" ht="12.75">
      <c r="A23" s="4"/>
      <c r="B23" s="14"/>
      <c r="C23" s="4"/>
      <c r="D23" s="4"/>
      <c r="E23" s="4"/>
      <c r="F23" s="4"/>
      <c r="G23" s="4"/>
    </row>
    <row r="24" spans="1:7" ht="12.75">
      <c r="A24" s="4" t="s">
        <v>185</v>
      </c>
      <c r="B24" s="14"/>
      <c r="C24" s="4"/>
      <c r="D24" s="4"/>
      <c r="E24" s="4"/>
      <c r="F24" s="4"/>
      <c r="G24" s="4"/>
    </row>
    <row r="25" spans="1:7" ht="12.75">
      <c r="A25" s="4" t="s">
        <v>186</v>
      </c>
      <c r="B25" s="14">
        <f>D14</f>
        <v>50535208.892992005</v>
      </c>
      <c r="C25" s="4" t="s">
        <v>172</v>
      </c>
      <c r="D25" s="4"/>
      <c r="E25" s="4"/>
      <c r="F25" s="4"/>
      <c r="G25" s="4"/>
    </row>
    <row r="26" spans="1:7" ht="12.75">
      <c r="A26" s="18" t="s">
        <v>187</v>
      </c>
      <c r="B26" s="75">
        <f>B25*B21</f>
        <v>26465288.897259906</v>
      </c>
      <c r="C26" s="18" t="s">
        <v>132</v>
      </c>
      <c r="D26" s="4"/>
      <c r="E26" s="89"/>
      <c r="F26" s="4"/>
      <c r="G26" s="4"/>
    </row>
    <row r="27" spans="1:7" ht="12.75">
      <c r="A27" s="4"/>
      <c r="B27" s="14"/>
      <c r="C27" s="4"/>
      <c r="D27" s="4"/>
      <c r="E27" s="89"/>
      <c r="F27" s="4"/>
      <c r="G27" s="4"/>
    </row>
    <row r="28" spans="1:7" ht="12.75">
      <c r="A28" s="18" t="s">
        <v>188</v>
      </c>
      <c r="B28" s="75">
        <f>B26+B22</f>
        <v>52930577.79451981</v>
      </c>
      <c r="C28" s="90" t="s">
        <v>132</v>
      </c>
      <c r="D28" s="62">
        <f>B28/1000000</f>
        <v>52.93057779451981</v>
      </c>
      <c r="E28" s="4" t="s">
        <v>5</v>
      </c>
      <c r="F28" s="4"/>
      <c r="G28" s="4"/>
    </row>
    <row r="29" spans="1:7" ht="12.75">
      <c r="A29" s="91"/>
      <c r="B29" s="92"/>
      <c r="C29" s="93"/>
      <c r="D29" s="94"/>
      <c r="E29" s="57"/>
      <c r="F29" s="57"/>
      <c r="G29" s="4"/>
    </row>
    <row r="30" spans="1:7" ht="12.75">
      <c r="A30" s="4" t="s">
        <v>189</v>
      </c>
      <c r="B30" s="4"/>
      <c r="C30" s="4"/>
      <c r="D30" s="4"/>
      <c r="E30" s="4"/>
      <c r="F30" s="4"/>
      <c r="G30" s="4"/>
    </row>
    <row r="31" spans="1:7" ht="12.75">
      <c r="A31" s="4"/>
      <c r="B31" s="95"/>
      <c r="C31" s="95"/>
      <c r="D31" s="4"/>
      <c r="E31" s="4"/>
      <c r="F31" s="4"/>
      <c r="G31" s="4"/>
    </row>
    <row r="32" spans="1:7" ht="12.75">
      <c r="A32" s="4" t="s">
        <v>190</v>
      </c>
      <c r="B32" s="96">
        <v>0.375</v>
      </c>
      <c r="C32" s="96"/>
      <c r="D32" s="96"/>
      <c r="E32" s="4"/>
      <c r="F32" s="4"/>
      <c r="G32" s="4"/>
    </row>
    <row r="33" spans="1:7" ht="12.75">
      <c r="A33" s="4" t="s">
        <v>191</v>
      </c>
      <c r="B33" s="96">
        <v>0.1073</v>
      </c>
      <c r="C33" s="96"/>
      <c r="D33" s="96"/>
      <c r="E33" s="4"/>
      <c r="F33" s="4"/>
      <c r="G33" s="4"/>
    </row>
    <row r="34" spans="1:7" ht="12.75">
      <c r="A34" s="4" t="s">
        <v>192</v>
      </c>
      <c r="B34" s="96">
        <v>0.143956302</v>
      </c>
      <c r="C34" s="96"/>
      <c r="D34" s="96"/>
      <c r="E34" s="4"/>
      <c r="F34" s="4"/>
      <c r="G34" s="4"/>
    </row>
    <row r="35" spans="1:7" ht="12.75">
      <c r="A35" s="57" t="s">
        <v>193</v>
      </c>
      <c r="B35" s="97">
        <v>0.6545000000000001</v>
      </c>
      <c r="C35" s="97">
        <v>0.47040000000000004</v>
      </c>
      <c r="D35" s="96"/>
      <c r="E35" s="4"/>
      <c r="F35" s="4"/>
      <c r="G35" s="4"/>
    </row>
    <row r="36" spans="1:7" ht="12.75">
      <c r="A36" s="36" t="s">
        <v>194</v>
      </c>
      <c r="B36" s="96">
        <f>SUM(B32:B35)</f>
        <v>1.2807563020000001</v>
      </c>
      <c r="C36" s="96">
        <f>C35+B34+B33+B32</f>
        <v>1.096656302</v>
      </c>
      <c r="D36" s="96"/>
      <c r="E36" s="4"/>
      <c r="F36" s="4"/>
      <c r="G36" s="4"/>
    </row>
    <row r="37" spans="1:7" ht="12.75">
      <c r="A37" s="4" t="s">
        <v>195</v>
      </c>
      <c r="B37" s="96">
        <f>B36*0.19</f>
        <v>0.24334369738000003</v>
      </c>
      <c r="C37" s="96">
        <f>C36*0.19</f>
        <v>0.20836469738</v>
      </c>
      <c r="D37" s="96">
        <f>B37+B35</f>
        <v>0.8978436973800001</v>
      </c>
      <c r="E37" s="4"/>
      <c r="F37" s="4"/>
      <c r="G37" s="4"/>
    </row>
    <row r="38" spans="1:7" ht="12.75">
      <c r="A38" s="36" t="s">
        <v>174</v>
      </c>
      <c r="B38" s="96">
        <f>B36+B37</f>
        <v>1.5240999993800002</v>
      </c>
      <c r="C38" s="96">
        <f>SUM(C36:C37)</f>
        <v>1.30502099938</v>
      </c>
      <c r="D38" s="96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18" t="s">
        <v>196</v>
      </c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 t="s">
        <v>190</v>
      </c>
      <c r="B42" s="96">
        <v>0.375</v>
      </c>
      <c r="C42" s="96"/>
      <c r="D42" s="96"/>
      <c r="E42" s="4"/>
      <c r="F42" s="4"/>
      <c r="G42" s="4"/>
    </row>
    <row r="43" spans="1:7" ht="12.75">
      <c r="A43" s="4" t="s">
        <v>191</v>
      </c>
      <c r="B43" s="96">
        <v>0.1073</v>
      </c>
      <c r="C43" s="96"/>
      <c r="D43" s="96"/>
      <c r="E43" s="4"/>
      <c r="F43" s="4"/>
      <c r="G43" s="4"/>
    </row>
    <row r="44" spans="1:7" ht="12.75">
      <c r="A44" s="4" t="s">
        <v>197</v>
      </c>
      <c r="B44" s="96">
        <v>0.124</v>
      </c>
      <c r="C44" s="96"/>
      <c r="D44" s="96"/>
      <c r="E44" s="4"/>
      <c r="F44" s="4"/>
      <c r="G44" s="4"/>
    </row>
    <row r="45" spans="1:7" ht="12.75">
      <c r="A45" s="57" t="s">
        <v>193</v>
      </c>
      <c r="B45" s="97">
        <v>0</v>
      </c>
      <c r="C45" s="97">
        <v>0</v>
      </c>
      <c r="D45" s="96"/>
      <c r="E45" s="4"/>
      <c r="F45" s="4"/>
      <c r="G45" s="4"/>
    </row>
    <row r="46" spans="1:7" ht="12.75">
      <c r="A46" s="36" t="str">
        <f>A36</f>
        <v>Z-Summe</v>
      </c>
      <c r="B46" s="96">
        <f>SUM(B42:B45)</f>
        <v>0.6063000000000001</v>
      </c>
      <c r="C46" s="96">
        <f>C45+B44+B43+B42</f>
        <v>0.6063000000000001</v>
      </c>
      <c r="D46" s="96"/>
      <c r="E46" s="4"/>
      <c r="F46" s="4"/>
      <c r="G46" s="4"/>
    </row>
    <row r="47" spans="1:7" ht="12.75">
      <c r="A47" s="4" t="s">
        <v>195</v>
      </c>
      <c r="B47" s="96">
        <v>0</v>
      </c>
      <c r="C47" s="96">
        <v>0</v>
      </c>
      <c r="D47" s="96">
        <f>B47+B45</f>
        <v>0</v>
      </c>
      <c r="E47" s="4"/>
      <c r="F47" s="4"/>
      <c r="G47" s="4"/>
    </row>
    <row r="48" spans="1:7" ht="12.75">
      <c r="A48" s="36" t="str">
        <f>A38</f>
        <v>Summe</v>
      </c>
      <c r="B48" s="96">
        <f>B46+B47</f>
        <v>0.6063000000000001</v>
      </c>
      <c r="C48" s="96">
        <f>SUM(C46:C47)</f>
        <v>0.6063000000000001</v>
      </c>
      <c r="D48" s="96"/>
      <c r="E48" s="4"/>
      <c r="F48" s="4"/>
      <c r="G48" s="4"/>
    </row>
    <row r="49" spans="1:7" ht="12.75">
      <c r="A49" s="4" t="s">
        <v>198</v>
      </c>
      <c r="B49" s="98">
        <f>B38-B48</f>
        <v>0.9177999993800001</v>
      </c>
      <c r="C49" s="4" t="s">
        <v>199</v>
      </c>
      <c r="D49" s="4"/>
      <c r="E49" s="4"/>
      <c r="F49" s="4"/>
      <c r="G49" s="4"/>
    </row>
    <row r="50" spans="1:7" ht="12.75">
      <c r="A50" s="4"/>
      <c r="B50" s="77"/>
      <c r="C50" s="4"/>
      <c r="D50" s="4"/>
      <c r="E50" s="4"/>
      <c r="F50" s="4"/>
      <c r="G50" s="4"/>
    </row>
    <row r="51" spans="1:7" ht="12.75">
      <c r="A51" s="15" t="s">
        <v>200</v>
      </c>
      <c r="B51" s="77"/>
      <c r="C51" s="4"/>
      <c r="D51" s="4"/>
      <c r="E51" s="4"/>
      <c r="F51" s="4"/>
      <c r="G51" s="4"/>
    </row>
    <row r="52" spans="1:7" ht="12.75">
      <c r="A52" s="15" t="s">
        <v>201</v>
      </c>
      <c r="B52" s="77"/>
      <c r="C52" s="4"/>
      <c r="D52" s="4"/>
      <c r="E52" s="4"/>
      <c r="F52" s="4"/>
      <c r="G52" s="4"/>
    </row>
  </sheetData>
  <sheetProtection selectLockedCells="1" selectUnlockedCells="1"/>
  <printOptions/>
  <pageMargins left="0.7875" right="0.7875" top="1.0805555555555555" bottom="1.0527777777777778" header="0.7875" footer="0.7875"/>
  <pageSetup horizontalDpi="300" verticalDpi="300" orientation="portrait" paperSize="9" scale="76"/>
  <headerFooter alignWithMargins="0">
    <oddHeader>&amp;C&amp;14Neue Wege in Jena&amp;R&amp;11&amp;D</oddHeader>
    <oddFooter>&amp;C&amp;"Times New Roman,Standard"&amp;12Seite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Benutzer </cp:lastModifiedBy>
  <cp:lastPrinted>2020-09-17T19:47:39Z</cp:lastPrinted>
  <dcterms:modified xsi:type="dcterms:W3CDTF">2021-03-05T16:41:51Z</dcterms:modified>
  <cp:category/>
  <cp:version/>
  <cp:contentType/>
  <cp:contentStatus/>
  <cp:revision>106</cp:revision>
</cp:coreProperties>
</file>